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fileSharing readOnlyRecommended="1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https://wingroupcom.sharepoint.com/sites/AfterSales_DACH/Freigegebene Dokumente/07 Tools/01 Statik/PRIME/"/>
    </mc:Choice>
  </mc:AlternateContent>
  <xr:revisionPtr revIDLastSave="1" documentId="8_{DD1F5BCE-C353-43E2-9C0C-058408A0FB79}" xr6:coauthVersionLast="45" xr6:coauthVersionMax="45" xr10:uidLastSave="{9791A11B-FC31-4558-B1F7-0B0A7F0C7EB6}"/>
  <bookViews>
    <workbookView minimized="1" xWindow="-26400" yWindow="2790" windowWidth="21600" windowHeight="12735" xr2:uid="{9D7A4E55-4703-47A7-856F-33A1227C43B4}"/>
  </bookViews>
  <sheets>
    <sheet name="EINGABE" sheetId="1" r:id="rId1"/>
    <sheet name="AUSGABE" sheetId="26" r:id="rId2"/>
    <sheet name="DD" sheetId="6" state="hidden" r:id="rId3"/>
    <sheet name="PROFILE" sheetId="9" state="hidden" r:id="rId4"/>
    <sheet name="RE FR" sheetId="20" state="hidden" r:id="rId5"/>
    <sheet name="RE SP" sheetId="21" state="hidden" r:id="rId6"/>
    <sheet name="RE TR" sheetId="22" state="hidden" r:id="rId7"/>
    <sheet name="F1P1" sheetId="4" state="hidden" r:id="rId8"/>
    <sheet name="F1P2" sheetId="13" state="hidden" r:id="rId9"/>
    <sheet name="F2P1" sheetId="10" state="hidden" r:id="rId10"/>
    <sheet name="F2P2" sheetId="15" state="hidden" r:id="rId11"/>
    <sheet name="F3P1" sheetId="11" state="hidden" r:id="rId12"/>
    <sheet name="F3P2" sheetId="16" state="hidden" r:id="rId13"/>
    <sheet name="F4P1" sheetId="12" state="hidden" r:id="rId14"/>
    <sheet name="F4P2" sheetId="17" state="hidden" r:id="rId15"/>
    <sheet name="F3P2FL" sheetId="18" state="hidden" r:id="rId16"/>
    <sheet name="F4P2FL" sheetId="19" state="hidden" r:id="rId17"/>
    <sheet name="W1P1" sheetId="25" state="hidden" r:id="rId18"/>
    <sheet name="W1P2" sheetId="24" state="hidden" r:id="rId19"/>
  </sheets>
  <definedNames>
    <definedName name="_xlnm._FilterDatabase" localSheetId="0" hidden="1">EINGABE!$J$55:$J$62</definedName>
    <definedName name="ANSP">DD!$D$4</definedName>
    <definedName name="AS" localSheetId="5">'RE SP'!#REF!</definedName>
    <definedName name="AS" localSheetId="6">'RE TR'!#REF!</definedName>
    <definedName name="AS">EINGABE!#REF!</definedName>
    <definedName name="Aseil" localSheetId="8">EINGABE!#REF!</definedName>
    <definedName name="Aseil" localSheetId="9">EINGABE!#REF!</definedName>
    <definedName name="Aseil" localSheetId="10">EINGABE!#REF!</definedName>
    <definedName name="Aseil" localSheetId="11">EINGABE!#REF!</definedName>
    <definedName name="Aseil" localSheetId="12">EINGABE!#REF!</definedName>
    <definedName name="Aseil" localSheetId="15">EINGABE!#REF!</definedName>
    <definedName name="Aseil" localSheetId="13">EINGABE!#REF!</definedName>
    <definedName name="Aseil" localSheetId="14">EINGABE!#REF!</definedName>
    <definedName name="Aseil" localSheetId="16">EINGABE!#REF!</definedName>
    <definedName name="Aseil" localSheetId="5">'RE SP'!#REF!</definedName>
    <definedName name="Aseil" localSheetId="6">'RE TR'!#REF!</definedName>
    <definedName name="Aseil" localSheetId="17">EINGABE!#REF!</definedName>
    <definedName name="Aseil" localSheetId="18">EINGABE!#REF!</definedName>
    <definedName name="Aseil">EINGABE!#REF!</definedName>
    <definedName name="ASP" localSheetId="5">'RE SP'!#REF!</definedName>
    <definedName name="ASP" localSheetId="6">'RE TR'!#REF!</definedName>
    <definedName name="ASP">EINGABE!#REF!</definedName>
    <definedName name="AST" localSheetId="8">EINGABE!#REF!</definedName>
    <definedName name="AST" localSheetId="9">EINGABE!#REF!</definedName>
    <definedName name="AST" localSheetId="10">EINGABE!#REF!</definedName>
    <definedName name="AST" localSheetId="11">EINGABE!#REF!</definedName>
    <definedName name="AST" localSheetId="12">EINGABE!#REF!</definedName>
    <definedName name="AST" localSheetId="15">EINGABE!#REF!</definedName>
    <definedName name="AST" localSheetId="13">EINGABE!#REF!</definedName>
    <definedName name="AST" localSheetId="14">EINGABE!#REF!</definedName>
    <definedName name="AST" localSheetId="16">EINGABE!#REF!</definedName>
    <definedName name="AST" localSheetId="5">'RE SP'!#REF!</definedName>
    <definedName name="AST" localSheetId="6">'RE TR'!#REF!</definedName>
    <definedName name="AST" localSheetId="17">EINGABE!#REF!</definedName>
    <definedName name="AST" localSheetId="18">EINGABE!#REF!</definedName>
    <definedName name="AST">EINGABE!#REF!</definedName>
    <definedName name="AZS" localSheetId="8">EINGABE!#REF!</definedName>
    <definedName name="AZS" localSheetId="9">EINGABE!#REF!</definedName>
    <definedName name="AZS" localSheetId="10">EINGABE!#REF!</definedName>
    <definedName name="AZS" localSheetId="11">EINGABE!#REF!</definedName>
    <definedName name="AZS" localSheetId="12">EINGABE!#REF!</definedName>
    <definedName name="AZS" localSheetId="15">EINGABE!#REF!</definedName>
    <definedName name="AZS" localSheetId="13">EINGABE!#REF!</definedName>
    <definedName name="AZS" localSheetId="14">EINGABE!#REF!</definedName>
    <definedName name="AZS" localSheetId="16">EINGABE!#REF!</definedName>
    <definedName name="AZS" localSheetId="5">'RE SP'!#REF!</definedName>
    <definedName name="AZS" localSheetId="6">'RE TR'!#REF!</definedName>
    <definedName name="AZS" localSheetId="17">EINGABE!#REF!</definedName>
    <definedName name="AZS" localSheetId="18">EINGABE!#REF!</definedName>
    <definedName name="AZS">EINGABE!#REF!</definedName>
    <definedName name="B" localSheetId="5">'RE SP'!#REF!</definedName>
    <definedName name="B" localSheetId="6">'RE TR'!#REF!</definedName>
    <definedName name="B">EINGABE!$N$9</definedName>
    <definedName name="BKOR">EINGABE!$N$8</definedName>
    <definedName name="BWA">EINGABE!$G$66</definedName>
    <definedName name="DAUE">EINGABE!$N$10</definedName>
    <definedName name="EL" localSheetId="5">'RE SP'!#REF!</definedName>
    <definedName name="EL" localSheetId="6">'RE TR'!#REF!</definedName>
    <definedName name="EL">EINGABE!$N$30</definedName>
    <definedName name="Eseil" localSheetId="8">EINGABE!#REF!</definedName>
    <definedName name="Eseil" localSheetId="9">EINGABE!#REF!</definedName>
    <definedName name="Eseil" localSheetId="10">EINGABE!#REF!</definedName>
    <definedName name="Eseil" localSheetId="11">EINGABE!#REF!</definedName>
    <definedName name="Eseil" localSheetId="12">EINGABE!#REF!</definedName>
    <definedName name="Eseil" localSheetId="15">EINGABE!#REF!</definedName>
    <definedName name="Eseil" localSheetId="13">EINGABE!#REF!</definedName>
    <definedName name="Eseil" localSheetId="14">EINGABE!#REF!</definedName>
    <definedName name="Eseil" localSheetId="16">EINGABE!#REF!</definedName>
    <definedName name="Eseil" localSheetId="5">'RE SP'!#REF!</definedName>
    <definedName name="Eseil" localSheetId="6">'RE TR'!#REF!</definedName>
    <definedName name="Eseil" localSheetId="17">EINGABE!#REF!</definedName>
    <definedName name="Eseil" localSheetId="18">EINGABE!#REF!</definedName>
    <definedName name="Eseil">EINGABE!#REF!</definedName>
    <definedName name="EST" localSheetId="8">EINGABE!#REF!</definedName>
    <definedName name="EST" localSheetId="9">EINGABE!#REF!</definedName>
    <definedName name="EST" localSheetId="10">EINGABE!#REF!</definedName>
    <definedName name="EST" localSheetId="11">EINGABE!#REF!</definedName>
    <definedName name="EST" localSheetId="12">EINGABE!#REF!</definedName>
    <definedName name="EST" localSheetId="15">EINGABE!#REF!</definedName>
    <definedName name="EST" localSheetId="13">EINGABE!#REF!</definedName>
    <definedName name="EST" localSheetId="14">EINGABE!#REF!</definedName>
    <definedName name="EST" localSheetId="16">EINGABE!#REF!</definedName>
    <definedName name="EST" localSheetId="5">'RE SP'!#REF!</definedName>
    <definedName name="EST" localSheetId="6">'RE TR'!#REF!</definedName>
    <definedName name="EST" localSheetId="17">EINGABE!#REF!</definedName>
    <definedName name="EST" localSheetId="18">EINGABE!#REF!</definedName>
    <definedName name="EST">EINGABE!#REF!</definedName>
    <definedName name="EV100S">PROFILE!$E$19</definedName>
    <definedName name="EV80S">PROFILE!$E$18</definedName>
    <definedName name="EVSIG">PROFILE!$B$37</definedName>
    <definedName name="FE" localSheetId="5">'RE SP'!#REF!</definedName>
    <definedName name="FE" localSheetId="6">'RE TR'!#REF!</definedName>
    <definedName name="FE">EINGABE!#REF!</definedName>
    <definedName name="femx">PROFILE!$B$40</definedName>
    <definedName name="FFB" localSheetId="8">EINGABE!#REF!</definedName>
    <definedName name="FFB" localSheetId="9">EINGABE!#REF!</definedName>
    <definedName name="FFB" localSheetId="10">EINGABE!#REF!</definedName>
    <definedName name="FFB" localSheetId="11">EINGABE!#REF!</definedName>
    <definedName name="FFB" localSheetId="12">EINGABE!#REF!</definedName>
    <definedName name="FFB" localSheetId="15">EINGABE!#REF!</definedName>
    <definedName name="FFB" localSheetId="13">EINGABE!#REF!</definedName>
    <definedName name="FFB" localSheetId="14">EINGABE!#REF!</definedName>
    <definedName name="FFB" localSheetId="16">EINGABE!#REF!</definedName>
    <definedName name="FFB" localSheetId="5">'RE SP'!#REF!</definedName>
    <definedName name="FFB" localSheetId="6">'RE TR'!#REF!</definedName>
    <definedName name="FFB" localSheetId="17">EINGABE!#REF!</definedName>
    <definedName name="FFB" localSheetId="18">EINGABE!#REF!</definedName>
    <definedName name="FFB">EINGABE!#REF!</definedName>
    <definedName name="fl" localSheetId="5">'RE SP'!#REF!</definedName>
    <definedName name="fl" localSheetId="6">'RE TR'!#REF!</definedName>
    <definedName name="fl">EINGABE!$N$32</definedName>
    <definedName name="FRST" localSheetId="16">EINGABE!#REF!</definedName>
    <definedName name="FRST" localSheetId="5">'RE SP'!#REF!</definedName>
    <definedName name="FRST" localSheetId="6">'RE TR'!#REF!</definedName>
    <definedName name="FRST">EINGABE!#REF!</definedName>
    <definedName name="FS" localSheetId="5">'RE SP'!#REF!</definedName>
    <definedName name="FS" localSheetId="6">'RE TR'!#REF!</definedName>
    <definedName name="FS">EINGABE!#REF!</definedName>
    <definedName name="FST" localSheetId="5">'RE SP'!#REF!</definedName>
    <definedName name="FST" localSheetId="6">'RE TR'!#REF!</definedName>
    <definedName name="FST">EINGABE!$C$57</definedName>
    <definedName name="FT1A">PROFILE!$D$3</definedName>
    <definedName name="FT1E">PROFILE!$B$3</definedName>
    <definedName name="FT1I">PROFILE!$E$3</definedName>
    <definedName name="FT1N">PROFILE!$A$3</definedName>
    <definedName name="FT1W">PROFILE!$F$3</definedName>
    <definedName name="FT1x">PROFILE!$C$3</definedName>
    <definedName name="FT2A">PROFILE!$D$4</definedName>
    <definedName name="FT2E">PROFILE!$B$4</definedName>
    <definedName name="FT2I">PROFILE!$E$4</definedName>
    <definedName name="FT2N">PROFILE!$A$4</definedName>
    <definedName name="FT2W">PROFILE!$F$4</definedName>
    <definedName name="FT2x">PROFILE!$C$4</definedName>
    <definedName name="FT3A">PROFILE!$D$5</definedName>
    <definedName name="FT3E">PROFILE!$B$5</definedName>
    <definedName name="FT3I">PROFILE!$E$5</definedName>
    <definedName name="FT3N">PROFILE!$A$5</definedName>
    <definedName name="FT3W">PROFILE!$F$5</definedName>
    <definedName name="FT3x">PROFILE!$C$5</definedName>
    <definedName name="FT4A">PROFILE!$D$6</definedName>
    <definedName name="FT4E">PROFILE!$B$6</definedName>
    <definedName name="FT4I">PROFILE!$E$6</definedName>
    <definedName name="FT4N">PROFILE!$A$6</definedName>
    <definedName name="FT4W">PROFILE!$F$6</definedName>
    <definedName name="FT4x">PROFILE!$C$6</definedName>
    <definedName name="FTA" localSheetId="8">EINGABE!#REF!</definedName>
    <definedName name="FTA" localSheetId="9">EINGABE!#REF!</definedName>
    <definedName name="FTA" localSheetId="10">EINGABE!#REF!</definedName>
    <definedName name="FTA" localSheetId="11">EINGABE!#REF!</definedName>
    <definedName name="FTA" localSheetId="12">EINGABE!#REF!</definedName>
    <definedName name="FTA" localSheetId="15">EINGABE!#REF!</definedName>
    <definedName name="FTA" localSheetId="13">EINGABE!#REF!</definedName>
    <definedName name="FTA" localSheetId="14">EINGABE!#REF!</definedName>
    <definedName name="FTA" localSheetId="16">EINGABE!#REF!</definedName>
    <definedName name="FTA" localSheetId="5">'RE SP'!#REF!</definedName>
    <definedName name="FTA" localSheetId="6">'RE TR'!#REF!</definedName>
    <definedName name="FTA" localSheetId="17">EINGABE!#REF!</definedName>
    <definedName name="FTA" localSheetId="18">EINGABE!#REF!</definedName>
    <definedName name="FTA">EINGABE!#REF!</definedName>
    <definedName name="FTE" localSheetId="8">EINGABE!#REF!</definedName>
    <definedName name="FTE" localSheetId="9">EINGABE!#REF!</definedName>
    <definedName name="FTE" localSheetId="10">EINGABE!#REF!</definedName>
    <definedName name="FTE" localSheetId="11">EINGABE!#REF!</definedName>
    <definedName name="FTE" localSheetId="12">EINGABE!#REF!</definedName>
    <definedName name="FTE" localSheetId="15">EINGABE!#REF!</definedName>
    <definedName name="FTE" localSheetId="13">EINGABE!#REF!</definedName>
    <definedName name="FTE" localSheetId="14">EINGABE!#REF!</definedName>
    <definedName name="FTE" localSheetId="16">EINGABE!#REF!</definedName>
    <definedName name="FTE" localSheetId="5">'RE SP'!#REF!</definedName>
    <definedName name="FTE" localSheetId="6">'RE TR'!#REF!</definedName>
    <definedName name="FTE" localSheetId="17">EINGABE!#REF!</definedName>
    <definedName name="FTE" localSheetId="18">EINGABE!#REF!</definedName>
    <definedName name="FTE">EINGABE!#REF!</definedName>
    <definedName name="FTIX" localSheetId="8">EINGABE!#REF!</definedName>
    <definedName name="FTIX" localSheetId="9">EINGABE!#REF!</definedName>
    <definedName name="FTIX" localSheetId="10">EINGABE!#REF!</definedName>
    <definedName name="FTIX" localSheetId="11">EINGABE!#REF!</definedName>
    <definedName name="FTIX" localSheetId="12">EINGABE!#REF!</definedName>
    <definedName name="FTIX" localSheetId="15">EINGABE!#REF!</definedName>
    <definedName name="FTIX" localSheetId="13">EINGABE!#REF!</definedName>
    <definedName name="FTIX" localSheetId="14">EINGABE!#REF!</definedName>
    <definedName name="FTIX" localSheetId="16">EINGABE!#REF!</definedName>
    <definedName name="FTIX" localSheetId="5">'RE SP'!#REF!</definedName>
    <definedName name="FTIX" localSheetId="6">'RE TR'!#REF!</definedName>
    <definedName name="FTIX" localSheetId="17">EINGABE!#REF!</definedName>
    <definedName name="FTIX" localSheetId="18">EINGABE!#REF!</definedName>
    <definedName name="FTIX">EINGABE!#REF!</definedName>
    <definedName name="FTN">PROFILE!$A$3</definedName>
    <definedName name="FTSZ" localSheetId="8">EINGABE!#REF!</definedName>
    <definedName name="FTSZ" localSheetId="9">EINGABE!#REF!</definedName>
    <definedName name="FTSZ" localSheetId="10">EINGABE!#REF!</definedName>
    <definedName name="FTSZ" localSheetId="11">EINGABE!#REF!</definedName>
    <definedName name="FTSZ" localSheetId="12">EINGABE!#REF!</definedName>
    <definedName name="FTSZ" localSheetId="15">EINGABE!#REF!</definedName>
    <definedName name="FTSZ" localSheetId="13">EINGABE!#REF!</definedName>
    <definedName name="FTSZ" localSheetId="14">EINGABE!#REF!</definedName>
    <definedName name="FTSZ" localSheetId="16">EINGABE!#REF!</definedName>
    <definedName name="FTSZ" localSheetId="5">'RE SP'!#REF!</definedName>
    <definedName name="FTSZ" localSheetId="6">'RE TR'!#REF!</definedName>
    <definedName name="FTSZ" localSheetId="17">EINGABE!#REF!</definedName>
    <definedName name="FTSZ" localSheetId="18">EINGABE!#REF!</definedName>
    <definedName name="FTSZ">EINGABE!#REF!</definedName>
    <definedName name="FTWX" localSheetId="8">EINGABE!#REF!</definedName>
    <definedName name="FTWX" localSheetId="9">EINGABE!#REF!</definedName>
    <definedName name="FTWX" localSheetId="10">EINGABE!#REF!</definedName>
    <definedName name="FTWX" localSheetId="11">EINGABE!#REF!</definedName>
    <definedName name="FTWX" localSheetId="12">EINGABE!#REF!</definedName>
    <definedName name="FTWX" localSheetId="15">EINGABE!#REF!</definedName>
    <definedName name="FTWX" localSheetId="13">EINGABE!#REF!</definedName>
    <definedName name="FTWX" localSheetId="14">EINGABE!#REF!</definedName>
    <definedName name="FTWX" localSheetId="16">EINGABE!#REF!</definedName>
    <definedName name="FTWX" localSheetId="5">'RE SP'!#REF!</definedName>
    <definedName name="FTWX" localSheetId="6">'RE TR'!#REF!</definedName>
    <definedName name="FTWX" localSheetId="17">EINGABE!#REF!</definedName>
    <definedName name="FTWX" localSheetId="18">EINGABE!#REF!</definedName>
    <definedName name="FTWX">EINGABE!#REF!</definedName>
    <definedName name="FW" localSheetId="5">'RE SP'!#REF!</definedName>
    <definedName name="FW" localSheetId="6">'RE TR'!#REF!</definedName>
    <definedName name="FW">EINGABE!#REF!</definedName>
    <definedName name="H" localSheetId="5">'RE SP'!#REF!</definedName>
    <definedName name="H" localSheetId="6">'RE TR'!#REF!</definedName>
    <definedName name="H">EINGABE!$N$12</definedName>
    <definedName name="HW" localSheetId="5">'RE SP'!#REF!</definedName>
    <definedName name="HW" localSheetId="6">'RE TR'!#REF!</definedName>
    <definedName name="HW">EINGABE!$N$11</definedName>
    <definedName name="HWL">EINGABE!$C$57</definedName>
    <definedName name="I0G" localSheetId="8">EINGABE!#REF!</definedName>
    <definedName name="I0G" localSheetId="9">EINGABE!#REF!</definedName>
    <definedName name="I0G" localSheetId="10">EINGABE!#REF!</definedName>
    <definedName name="I0G" localSheetId="11">EINGABE!#REF!</definedName>
    <definedName name="I0G" localSheetId="12">EINGABE!#REF!</definedName>
    <definedName name="I0G" localSheetId="15">EINGABE!#REF!</definedName>
    <definedName name="I0G" localSheetId="13">EINGABE!#REF!</definedName>
    <definedName name="I0G" localSheetId="14">EINGABE!#REF!</definedName>
    <definedName name="I0G" localSheetId="16">EINGABE!#REF!</definedName>
    <definedName name="I0G" localSheetId="5">'RE SP'!#REF!</definedName>
    <definedName name="I0G" localSheetId="6">'RE TR'!#REF!</definedName>
    <definedName name="I0G" localSheetId="17">EINGABE!#REF!</definedName>
    <definedName name="I0G" localSheetId="18">EINGABE!#REF!</definedName>
    <definedName name="I0G">EINGABE!#REF!</definedName>
    <definedName name="I45G" localSheetId="8">EINGABE!#REF!</definedName>
    <definedName name="I45G" localSheetId="9">EINGABE!#REF!</definedName>
    <definedName name="I45G" localSheetId="10">EINGABE!#REF!</definedName>
    <definedName name="I45G" localSheetId="11">EINGABE!#REF!</definedName>
    <definedName name="I45G" localSheetId="12">EINGABE!#REF!</definedName>
    <definedName name="I45G" localSheetId="15">EINGABE!#REF!</definedName>
    <definedName name="I45G" localSheetId="13">EINGABE!#REF!</definedName>
    <definedName name="I45G" localSheetId="14">EINGABE!#REF!</definedName>
    <definedName name="I45G" localSheetId="16">EINGABE!#REF!</definedName>
    <definedName name="I45G" localSheetId="5">'RE SP'!#REF!</definedName>
    <definedName name="I45G" localSheetId="6">'RE TR'!#REF!</definedName>
    <definedName name="I45G" localSheetId="17">EINGABE!#REF!</definedName>
    <definedName name="I45G" localSheetId="18">EINGABE!#REF!</definedName>
    <definedName name="I45G">EINGABE!#REF!</definedName>
    <definedName name="imax">'RE SP'!$D$33</definedName>
    <definedName name="INFOSTANDSICHERHEIT">DD!$R$3</definedName>
    <definedName name="L" localSheetId="5">'RE SP'!#REF!</definedName>
    <definedName name="L" localSheetId="6">'RE TR'!#REF!</definedName>
    <definedName name="L">EINGABE!$N$7</definedName>
    <definedName name="L2SP">EINGABE!$C$68</definedName>
    <definedName name="LA">EINGABE!$N$8</definedName>
    <definedName name="LDF">EINGABE!$O$41</definedName>
    <definedName name="LED" localSheetId="5">'RE SP'!#REF!</definedName>
    <definedName name="LED" localSheetId="6">'RE TR'!#REF!</definedName>
    <definedName name="LED">EINGABE!$N$41</definedName>
    <definedName name="LEDF" localSheetId="5">'RE SP'!#REF!</definedName>
    <definedName name="LEDF" localSheetId="6">'RE TR'!#REF!</definedName>
    <definedName name="LEDF">EINGABE!#REF!</definedName>
    <definedName name="LFE">EINGABE!$B$52</definedName>
    <definedName name="LFS">EINGABE!$B$53</definedName>
    <definedName name="LFW">EINGABE!$B$54</definedName>
    <definedName name="LGF">EINGABE!$O$38</definedName>
    <definedName name="LKOR">EINGABE!$N$8</definedName>
    <definedName name="LL2SP">EINGABE!$C$60</definedName>
    <definedName name="LLFT" localSheetId="5">'RE SP'!#REF!</definedName>
    <definedName name="LLFT" localSheetId="6">'RE TR'!#REF!</definedName>
    <definedName name="LLFT">EINGABE!$C$56</definedName>
    <definedName name="LLSP">EINGABE!$C$59</definedName>
    <definedName name="LLTH">EINGABE!$C$61</definedName>
    <definedName name="LLUB">EINGABE!$N$33</definedName>
    <definedName name="LLWT">EINGABE!$C$58</definedName>
    <definedName name="LS" localSheetId="5">'RE SP'!#REF!</definedName>
    <definedName name="LS" localSheetId="6">'RE TR'!#REF!</definedName>
    <definedName name="LS">EINGABE!#REF!</definedName>
    <definedName name="LSP">EINGABE!$C$67</definedName>
    <definedName name="LWF">EINGABE!$C$64</definedName>
    <definedName name="M100EV">PROFILE!$G$19</definedName>
    <definedName name="M100PF">PROFILE!$G$13</definedName>
    <definedName name="M130TF">PROFILE!$G$3</definedName>
    <definedName name="M170FT">PROFILE!$G$4</definedName>
    <definedName name="M200WT">PROFILE!$G$7</definedName>
    <definedName name="M205FT">PROFILE!$G$5</definedName>
    <definedName name="M240FT">PROFILE!$G$6</definedName>
    <definedName name="M80EV">PROFILE!$G$18</definedName>
    <definedName name="M80PF">PROFILE!$G$12</definedName>
    <definedName name="MAEX">DD!$J$4</definedName>
    <definedName name="MSTSP" localSheetId="5">'RE SP'!#REF!</definedName>
    <definedName name="MSTSP" localSheetId="6">'RE TR'!#REF!</definedName>
    <definedName name="MSTSP">EINGABE!$C$65</definedName>
    <definedName name="MSTWA">EINGABE!$C$66</definedName>
    <definedName name="NU" localSheetId="8">#REF!</definedName>
    <definedName name="NU" localSheetId="9">#REF!</definedName>
    <definedName name="NU" localSheetId="10">#REF!</definedName>
    <definedName name="NU" localSheetId="11">#REF!</definedName>
    <definedName name="NU" localSheetId="12">#REF!</definedName>
    <definedName name="NU" localSheetId="15">#REF!</definedName>
    <definedName name="NU" localSheetId="13">#REF!</definedName>
    <definedName name="NU" localSheetId="14">#REF!</definedName>
    <definedName name="NU" localSheetId="16">#REF!</definedName>
    <definedName name="NU" localSheetId="17">#REF!</definedName>
    <definedName name="NU" localSheetId="18">#REF!</definedName>
    <definedName name="NU">#REF!</definedName>
    <definedName name="OL">EINGABE!$N$39</definedName>
    <definedName name="OLF">EINGABE!$O$39</definedName>
    <definedName name="PF100StIx">PROFILE!$E$15</definedName>
    <definedName name="PF1A">PROFILE!$D$12</definedName>
    <definedName name="PF1E">PROFILE!$B$12</definedName>
    <definedName name="PF1I">PROFILE!$E$12</definedName>
    <definedName name="PF1N">PROFILE!$A$12</definedName>
    <definedName name="PF1W">PROFILE!$F$12</definedName>
    <definedName name="PF1x">PROFILE!$C$12</definedName>
    <definedName name="PF2A">PROFILE!$D$13</definedName>
    <definedName name="PF2E">PROFILE!$B$13</definedName>
    <definedName name="PF2I">PROFILE!$E$13</definedName>
    <definedName name="PF2N">PROFILE!$A$13</definedName>
    <definedName name="PF2W">PROFILE!$F$13</definedName>
    <definedName name="PF2x">PROFILE!$C$13</definedName>
    <definedName name="PF3A">PROFILE!#REF!</definedName>
    <definedName name="PF3E">PROFILE!#REF!</definedName>
    <definedName name="PF3I">PROFILE!#REF!</definedName>
    <definedName name="PF3N">PROFILE!#REF!</definedName>
    <definedName name="PF3W">PROFILE!#REF!</definedName>
    <definedName name="PF3x">PROFILE!#REF!</definedName>
    <definedName name="PF4A">PROFILE!#REF!</definedName>
    <definedName name="PF4E">PROFILE!#REF!</definedName>
    <definedName name="PF4I">PROFILE!#REF!</definedName>
    <definedName name="PF4N">PROFILE!#REF!</definedName>
    <definedName name="PF4W">PROFILE!#REF!</definedName>
    <definedName name="PF4x">PROFILE!#REF!</definedName>
    <definedName name="PF80STIx">PROFILE!$E$14</definedName>
    <definedName name="PFAE">EINGABE!$N$16</definedName>
    <definedName name="PFBE">EINGABE!$N$17</definedName>
    <definedName name="PFCH">EINGABE!$C$55</definedName>
    <definedName name="PRSIG">PROFILE!$B$38</definedName>
    <definedName name="SGST" localSheetId="8">EINGABE!#REF!</definedName>
    <definedName name="SGST" localSheetId="9">EINGABE!#REF!</definedName>
    <definedName name="SGST" localSheetId="10">EINGABE!#REF!</definedName>
    <definedName name="SGST" localSheetId="11">EINGABE!#REF!</definedName>
    <definedName name="SGST" localSheetId="12">EINGABE!#REF!</definedName>
    <definedName name="SGST" localSheetId="15">EINGABE!#REF!</definedName>
    <definedName name="SGST" localSheetId="13">EINGABE!#REF!</definedName>
    <definedName name="SGST" localSheetId="14">EINGABE!#REF!</definedName>
    <definedName name="SGST" localSheetId="16">EINGABE!#REF!</definedName>
    <definedName name="SGST" localSheetId="5">'RE SP'!#REF!</definedName>
    <definedName name="SGST" localSheetId="6">'RE TR'!#REF!</definedName>
    <definedName name="SGST" localSheetId="17">EINGABE!#REF!</definedName>
    <definedName name="SGST" localSheetId="18">EINGABE!#REF!</definedName>
    <definedName name="SGST">EINGABE!#REF!</definedName>
    <definedName name="SigSeil" localSheetId="8">EINGABE!#REF!</definedName>
    <definedName name="SigSeil" localSheetId="9">EINGABE!#REF!</definedName>
    <definedName name="SigSeil" localSheetId="10">EINGABE!#REF!</definedName>
    <definedName name="SigSeil" localSheetId="11">EINGABE!#REF!</definedName>
    <definedName name="SigSeil" localSheetId="12">EINGABE!#REF!</definedName>
    <definedName name="SigSeil" localSheetId="15">EINGABE!#REF!</definedName>
    <definedName name="SigSeil" localSheetId="13">EINGABE!#REF!</definedName>
    <definedName name="SigSeil" localSheetId="14">EINGABE!#REF!</definedName>
    <definedName name="SigSeil" localSheetId="16">EINGABE!#REF!</definedName>
    <definedName name="SigSeil" localSheetId="5">'RE SP'!#REF!</definedName>
    <definedName name="SigSeil" localSheetId="6">'RE TR'!#REF!</definedName>
    <definedName name="SigSeil" localSheetId="17">EINGABE!#REF!</definedName>
    <definedName name="SigSeil" localSheetId="18">EINGABE!#REF!</definedName>
    <definedName name="SigSeil">EINGABE!#REF!</definedName>
    <definedName name="SL" localSheetId="5">'RE SP'!#REF!</definedName>
    <definedName name="SL" localSheetId="6">'RE TR'!#REF!</definedName>
    <definedName name="SL">EINGABE!$N$31</definedName>
    <definedName name="SP130H" localSheetId="8">EINGABE!#REF!</definedName>
    <definedName name="SP130H" localSheetId="9">EINGABE!#REF!</definedName>
    <definedName name="SP130H" localSheetId="10">EINGABE!#REF!</definedName>
    <definedName name="SP130H" localSheetId="11">EINGABE!#REF!</definedName>
    <definedName name="SP130H" localSheetId="12">EINGABE!#REF!</definedName>
    <definedName name="SP130H" localSheetId="15">EINGABE!#REF!</definedName>
    <definedName name="SP130H" localSheetId="13">EINGABE!#REF!</definedName>
    <definedName name="SP130H" localSheetId="14">EINGABE!#REF!</definedName>
    <definedName name="SP130H" localSheetId="16">EINGABE!#REF!</definedName>
    <definedName name="SP130H" localSheetId="5">'RE SP'!#REF!</definedName>
    <definedName name="SP130H" localSheetId="6">'RE TR'!#REF!</definedName>
    <definedName name="SP130H" localSheetId="17">EINGABE!#REF!</definedName>
    <definedName name="SP130H" localSheetId="18">EINGABE!#REF!</definedName>
    <definedName name="SP130H">EINGABE!#REF!</definedName>
    <definedName name="SP165H" localSheetId="8">EINGABE!#REF!</definedName>
    <definedName name="SP165H" localSheetId="9">EINGABE!#REF!</definedName>
    <definedName name="SP165H" localSheetId="10">EINGABE!#REF!</definedName>
    <definedName name="SP165H" localSheetId="11">EINGABE!#REF!</definedName>
    <definedName name="SP165H" localSheetId="12">EINGABE!#REF!</definedName>
    <definedName name="SP165H" localSheetId="15">EINGABE!#REF!</definedName>
    <definedName name="SP165H" localSheetId="13">EINGABE!#REF!</definedName>
    <definedName name="SP165H" localSheetId="14">EINGABE!#REF!</definedName>
    <definedName name="SP165H" localSheetId="16">EINGABE!#REF!</definedName>
    <definedName name="SP165H" localSheetId="5">'RE SP'!#REF!</definedName>
    <definedName name="SP165H" localSheetId="6">'RE TR'!#REF!</definedName>
    <definedName name="SP165H" localSheetId="17">EINGABE!#REF!</definedName>
    <definedName name="SP165H" localSheetId="18">EINGABE!#REF!</definedName>
    <definedName name="SP165H">EINGABE!#REF!</definedName>
    <definedName name="SPA">EINGABE!$C$70</definedName>
    <definedName name="SPL" localSheetId="5">'RE SP'!#REF!</definedName>
    <definedName name="SPL" localSheetId="6">'RE TR'!#REF!</definedName>
    <definedName name="SPL">EINGABE!$C$67</definedName>
    <definedName name="SPLL" localSheetId="5">'RE SP'!#REF!</definedName>
    <definedName name="SPLL" localSheetId="6">'RE TR'!#REF!</definedName>
    <definedName name="SPLL">EINGABE!$C$59</definedName>
    <definedName name="SPRA">EINGABE!$E$4</definedName>
    <definedName name="SST">F1P1!$E$23</definedName>
    <definedName name="STE" localSheetId="5">'RE SP'!#REF!</definedName>
    <definedName name="STE" localSheetId="6">'RE TR'!#REF!</definedName>
    <definedName name="STE">EINGABE!$N$18</definedName>
    <definedName name="STF" localSheetId="8">EINGABE!#REF!</definedName>
    <definedName name="STF" localSheetId="9">EINGABE!#REF!</definedName>
    <definedName name="STF" localSheetId="10">EINGABE!#REF!</definedName>
    <definedName name="STF" localSheetId="11">EINGABE!#REF!</definedName>
    <definedName name="STF" localSheetId="12">EINGABE!#REF!</definedName>
    <definedName name="STF" localSheetId="15">EINGABE!#REF!</definedName>
    <definedName name="STF" localSheetId="13">EINGABE!#REF!</definedName>
    <definedName name="STF" localSheetId="14">EINGABE!#REF!</definedName>
    <definedName name="STF" localSheetId="16">EINGABE!#REF!</definedName>
    <definedName name="STF" localSheetId="5">'RE SP'!#REF!</definedName>
    <definedName name="STF" localSheetId="6">'RE TR'!#REF!</definedName>
    <definedName name="STF" localSheetId="17">EINGABE!#REF!</definedName>
    <definedName name="STF" localSheetId="18">EINGABE!#REF!</definedName>
    <definedName name="STF">EINGABE!$O$19</definedName>
    <definedName name="STS">EINGABE!$N$35</definedName>
    <definedName name="STVO">EINGABE!$N$19</definedName>
    <definedName name="TL">EINGABE!$N$9</definedName>
    <definedName name="UB" localSheetId="5">'RE SP'!#REF!</definedName>
    <definedName name="UB" localSheetId="6">'RE TR'!#REF!</definedName>
    <definedName name="UB">EINGABE!$N$38</definedName>
    <definedName name="UBEL" localSheetId="16">EINGABE!#REF!</definedName>
    <definedName name="UBEL" localSheetId="5">'RE SP'!#REF!</definedName>
    <definedName name="UBEL" localSheetId="6">'RE TR'!#REF!</definedName>
    <definedName name="UBEL">EINGABE!#REF!</definedName>
    <definedName name="W0G" localSheetId="8">EINGABE!#REF!</definedName>
    <definedName name="W0G" localSheetId="9">EINGABE!#REF!</definedName>
    <definedName name="W0G" localSheetId="10">EINGABE!#REF!</definedName>
    <definedName name="W0G" localSheetId="11">EINGABE!#REF!</definedName>
    <definedName name="W0G" localSheetId="12">EINGABE!#REF!</definedName>
    <definedName name="W0G" localSheetId="15">EINGABE!#REF!</definedName>
    <definedName name="W0G" localSheetId="13">EINGABE!#REF!</definedName>
    <definedName name="W0G" localSheetId="14">EINGABE!#REF!</definedName>
    <definedName name="W0G" localSheetId="16">EINGABE!#REF!</definedName>
    <definedName name="W0G" localSheetId="5">'RE SP'!#REF!</definedName>
    <definedName name="W0G" localSheetId="6">'RE TR'!#REF!</definedName>
    <definedName name="W0G" localSheetId="17">EINGABE!#REF!</definedName>
    <definedName name="W0G" localSheetId="18">EINGABE!#REF!</definedName>
    <definedName name="W0G">EINGABE!#REF!</definedName>
    <definedName name="W200M">PROFILE!$G$7</definedName>
    <definedName name="W45G" localSheetId="8">EINGABE!#REF!</definedName>
    <definedName name="W45G" localSheetId="9">EINGABE!#REF!</definedName>
    <definedName name="W45G" localSheetId="10">EINGABE!#REF!</definedName>
    <definedName name="W45G" localSheetId="11">EINGABE!#REF!</definedName>
    <definedName name="W45G" localSheetId="12">EINGABE!#REF!</definedName>
    <definedName name="W45G" localSheetId="15">EINGABE!#REF!</definedName>
    <definedName name="W45G" localSheetId="13">EINGABE!#REF!</definedName>
    <definedName name="W45G" localSheetId="14">EINGABE!#REF!</definedName>
    <definedName name="W45G" localSheetId="16">EINGABE!#REF!</definedName>
    <definedName name="W45G" localSheetId="5">'RE SP'!#REF!</definedName>
    <definedName name="W45G" localSheetId="6">'RE TR'!#REF!</definedName>
    <definedName name="W45G" localSheetId="17">EINGABE!#REF!</definedName>
    <definedName name="W45G" localSheetId="18">EINGABE!#REF!</definedName>
    <definedName name="W45G">EINGABE!#REF!</definedName>
    <definedName name="WAE">EINGABE!$N$22</definedName>
    <definedName name="WBE">EINGABE!$N$23</definedName>
    <definedName name="WHL" localSheetId="5">'RE SP'!#REF!</definedName>
    <definedName name="WHL" localSheetId="6">'RE TR'!#REF!</definedName>
    <definedName name="WHL">EINGABE!#REF!</definedName>
    <definedName name="WI" localSheetId="5">'RE SP'!#REF!</definedName>
    <definedName name="WI" localSheetId="6">'RE TR'!#REF!</definedName>
    <definedName name="WI">EINGABE!$C$62</definedName>
    <definedName name="WIB">F1P1!$E$22</definedName>
    <definedName name="WKOR">EINGABE!$N$8</definedName>
    <definedName name="WL" localSheetId="5">'RE SP'!#REF!</definedName>
    <definedName name="WL" localSheetId="6">'RE TR'!#REF!</definedName>
    <definedName name="WL">EINGABE!$N$32</definedName>
    <definedName name="WSTE">EINGABE!$N$24</definedName>
    <definedName name="WT1A">PROFILE!$D$7</definedName>
    <definedName name="WT1E">PROFILE!$B$7</definedName>
    <definedName name="WT1I">PROFILE!$E$7</definedName>
    <definedName name="WT1N">PROFILE!$A$7</definedName>
    <definedName name="WT1W">PROFILE!$F$7</definedName>
    <definedName name="WT1x">PROFILE!$C$7</definedName>
    <definedName name="WTE">PROFILE!$B$7</definedName>
    <definedName name="_xlnm.Extract" localSheetId="0">EINGABE!$P$6:$P$6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3" i="1" l="1"/>
  <c r="M19" i="1" s="1"/>
  <c r="C54" i="1"/>
  <c r="J26" i="1" l="1"/>
  <c r="J25" i="1"/>
  <c r="J24" i="1"/>
  <c r="J23" i="1"/>
  <c r="J22" i="1"/>
  <c r="J21" i="1"/>
  <c r="J20" i="1"/>
  <c r="J18" i="1"/>
  <c r="J15" i="1"/>
  <c r="J14" i="1"/>
  <c r="J12" i="1"/>
  <c r="J11" i="1"/>
  <c r="J10" i="1"/>
  <c r="J9" i="1"/>
  <c r="J8" i="1"/>
  <c r="J7" i="1"/>
  <c r="U43" i="6"/>
  <c r="M16" i="1"/>
  <c r="J16" i="1" s="1"/>
  <c r="M17" i="1"/>
  <c r="J17" i="1" s="1"/>
  <c r="J3" i="1"/>
  <c r="U42" i="6"/>
  <c r="G4" i="1" s="1"/>
  <c r="U41" i="6"/>
  <c r="D4" i="1" s="1"/>
  <c r="U40" i="6"/>
  <c r="D3" i="1" s="1"/>
  <c r="B41" i="1"/>
  <c r="B40" i="1"/>
  <c r="A11" i="26" l="1"/>
  <c r="J30" i="1" l="1"/>
  <c r="G30" i="1"/>
  <c r="C55" i="1"/>
  <c r="O19" i="1"/>
  <c r="U37" i="6"/>
  <c r="O3" i="6" s="1"/>
  <c r="S39" i="6"/>
  <c r="U39" i="6" s="1"/>
  <c r="O5" i="6" s="1"/>
  <c r="S38" i="6"/>
  <c r="U38" i="6" s="1"/>
  <c r="O4" i="6" s="1"/>
  <c r="O39" i="1"/>
  <c r="O38" i="1"/>
  <c r="O41" i="1"/>
  <c r="U36" i="6"/>
  <c r="U35" i="6"/>
  <c r="N4" i="6" s="1"/>
  <c r="U34" i="6"/>
  <c r="P3" i="6" s="1"/>
  <c r="P4" i="6" l="1"/>
  <c r="N3" i="6"/>
  <c r="U20" i="6"/>
  <c r="L19" i="1" s="1"/>
  <c r="U18" i="6"/>
  <c r="L6" i="1" s="1"/>
  <c r="U7" i="6"/>
  <c r="C31" i="1" s="1"/>
  <c r="U33" i="6"/>
  <c r="L41" i="1" s="1"/>
  <c r="U32" i="6"/>
  <c r="L39" i="1" s="1"/>
  <c r="U31" i="6"/>
  <c r="L38" i="1" s="1"/>
  <c r="U30" i="6"/>
  <c r="L37" i="1" s="1"/>
  <c r="U29" i="6"/>
  <c r="L35" i="1" s="1"/>
  <c r="U28" i="6"/>
  <c r="L33" i="1" s="1"/>
  <c r="U27" i="6"/>
  <c r="L32" i="1" s="1"/>
  <c r="U26" i="6"/>
  <c r="L31" i="1" s="1"/>
  <c r="U25" i="6"/>
  <c r="L30" i="1" s="1"/>
  <c r="U24" i="6"/>
  <c r="L29" i="1" s="1"/>
  <c r="U23" i="6"/>
  <c r="L27" i="1" s="1"/>
  <c r="U22" i="6"/>
  <c r="L26" i="1" s="1"/>
  <c r="U21" i="6"/>
  <c r="L21" i="1" s="1"/>
  <c r="U19" i="6"/>
  <c r="L15" i="1" s="1"/>
  <c r="U17" i="6"/>
  <c r="H35" i="1" s="1"/>
  <c r="U16" i="6"/>
  <c r="E35" i="1" s="1"/>
  <c r="U15" i="6"/>
  <c r="H31" i="1" s="1"/>
  <c r="U14" i="6"/>
  <c r="E31" i="1" s="1"/>
  <c r="U13" i="6"/>
  <c r="U12" i="6"/>
  <c r="U11" i="6"/>
  <c r="B37" i="1" s="1"/>
  <c r="U10" i="6"/>
  <c r="B36" i="1" s="1"/>
  <c r="U9" i="6"/>
  <c r="B35" i="1" s="1"/>
  <c r="U8" i="6"/>
  <c r="B33" i="1" s="1"/>
  <c r="U6" i="6"/>
  <c r="B31" i="1" s="1"/>
  <c r="U5" i="6"/>
  <c r="B29" i="1" s="1"/>
  <c r="U4" i="6"/>
  <c r="B3" i="1" s="1"/>
  <c r="U3" i="6"/>
  <c r="E33" i="1" l="1"/>
  <c r="H33" i="1"/>
  <c r="E29" i="1"/>
  <c r="H29" i="1"/>
  <c r="B38" i="1"/>
  <c r="I5" i="26"/>
  <c r="I3" i="26"/>
  <c r="E78" i="1" l="1"/>
  <c r="E76" i="1"/>
  <c r="E72" i="1"/>
  <c r="E74" i="1"/>
  <c r="H9" i="22"/>
  <c r="G9" i="22"/>
  <c r="H30" i="1" l="1"/>
  <c r="E30" i="1"/>
  <c r="F30" i="1" l="1"/>
  <c r="I30" i="1"/>
  <c r="J19" i="1"/>
  <c r="D4" i="6"/>
  <c r="N27" i="1"/>
  <c r="M27" i="1" s="1"/>
  <c r="J27" i="1" s="1"/>
  <c r="O13" i="1"/>
  <c r="C31" i="21" l="1"/>
  <c r="C30" i="21"/>
  <c r="C29" i="21"/>
  <c r="C28" i="21"/>
  <c r="C26" i="21"/>
  <c r="C25" i="21"/>
  <c r="C24" i="21"/>
  <c r="C23" i="21"/>
  <c r="C22" i="21"/>
  <c r="C21" i="21"/>
  <c r="C18" i="21"/>
  <c r="C17" i="21"/>
  <c r="C16" i="21"/>
  <c r="C9" i="21"/>
  <c r="C8" i="21"/>
  <c r="C7" i="21"/>
  <c r="C6" i="21"/>
  <c r="C5" i="21"/>
  <c r="C4" i="21"/>
  <c r="D33" i="21"/>
  <c r="D30" i="21"/>
  <c r="D28" i="21"/>
  <c r="D18" i="21"/>
  <c r="D17" i="21"/>
  <c r="D16" i="21"/>
  <c r="D15" i="21"/>
  <c r="D14" i="21"/>
  <c r="D13" i="21"/>
  <c r="D9" i="21"/>
  <c r="D8" i="21"/>
  <c r="D7" i="21"/>
  <c r="E61" i="1" l="1"/>
  <c r="E64" i="1"/>
  <c r="E58" i="1"/>
  <c r="E62" i="1"/>
  <c r="E55" i="1"/>
  <c r="E59" i="1"/>
  <c r="E57" i="1"/>
  <c r="E56" i="1"/>
  <c r="E60" i="1"/>
  <c r="K5" i="6"/>
  <c r="C70" i="1" l="1"/>
  <c r="G18" i="9" l="1"/>
  <c r="G19" i="9"/>
  <c r="G66" i="1"/>
  <c r="C66" i="1"/>
  <c r="C65" i="1"/>
  <c r="G53" i="1"/>
  <c r="F104" i="1" l="1"/>
  <c r="F103" i="1"/>
  <c r="B105" i="1"/>
  <c r="B104" i="1"/>
  <c r="D41" i="1"/>
  <c r="G31" i="21"/>
  <c r="F31" i="21"/>
  <c r="E31" i="21"/>
  <c r="D31" i="21" s="1"/>
  <c r="G29" i="21"/>
  <c r="E29" i="21"/>
  <c r="D29" i="21" s="1"/>
  <c r="D40" i="1" l="1"/>
  <c r="C62" i="1"/>
  <c r="N13" i="1" s="1"/>
  <c r="M13" i="1" s="1"/>
  <c r="J13" i="1" s="1"/>
  <c r="J4" i="1" s="1"/>
  <c r="C63" i="1"/>
  <c r="C64" i="1" l="1"/>
  <c r="C41" i="1"/>
  <c r="C40" i="1"/>
  <c r="E18" i="24"/>
  <c r="E18" i="25"/>
  <c r="K66" i="1" l="1"/>
  <c r="E17" i="25" l="1"/>
  <c r="E17" i="24"/>
  <c r="D26" i="24"/>
  <c r="E68" i="1"/>
  <c r="E67" i="1"/>
  <c r="B101" i="1"/>
  <c r="F100" i="1" s="1"/>
  <c r="B100" i="1"/>
  <c r="F99" i="1" s="1"/>
  <c r="B99" i="1"/>
  <c r="F98" i="1" s="1"/>
  <c r="B96" i="1"/>
  <c r="F95" i="1" s="1"/>
  <c r="B95" i="1"/>
  <c r="F94" i="1" s="1"/>
  <c r="B94" i="1"/>
  <c r="F93" i="1" s="1"/>
  <c r="G26" i="21"/>
  <c r="G25" i="21"/>
  <c r="F25" i="21"/>
  <c r="F26" i="21" s="1"/>
  <c r="E25" i="21"/>
  <c r="G23" i="21"/>
  <c r="G24" i="21" s="1"/>
  <c r="F23" i="21"/>
  <c r="F24" i="21" s="1"/>
  <c r="E23" i="21"/>
  <c r="G21" i="21"/>
  <c r="G22" i="21" s="1"/>
  <c r="F21" i="21"/>
  <c r="F22" i="21" s="1"/>
  <c r="E21" i="21"/>
  <c r="E31" i="25"/>
  <c r="E31" i="24"/>
  <c r="G7" i="9"/>
  <c r="E26" i="21" l="1"/>
  <c r="D26" i="21" s="1"/>
  <c r="D25" i="21"/>
  <c r="E24" i="21"/>
  <c r="D24" i="21" s="1"/>
  <c r="D23" i="21"/>
  <c r="E22" i="21"/>
  <c r="D22" i="21" s="1"/>
  <c r="D21" i="21"/>
  <c r="K12" i="26" a="1"/>
  <c r="K12" i="26" s="1"/>
  <c r="K9" i="26" a="1"/>
  <c r="K9" i="26" s="1"/>
  <c r="D26" i="25"/>
  <c r="I53" i="25" l="1"/>
  <c r="I52" i="25"/>
  <c r="I51" i="25"/>
  <c r="E41" i="25"/>
  <c r="E37" i="25"/>
  <c r="E36" i="25"/>
  <c r="E27" i="25"/>
  <c r="E34" i="25" s="1"/>
  <c r="S75" i="25"/>
  <c r="I53" i="24"/>
  <c r="I52" i="24"/>
  <c r="I51" i="24"/>
  <c r="E41" i="24"/>
  <c r="E37" i="24"/>
  <c r="E44" i="24" s="1"/>
  <c r="E36" i="24"/>
  <c r="E27" i="24"/>
  <c r="D75" i="24"/>
  <c r="D77" i="24" s="1"/>
  <c r="O75" i="24" l="1"/>
  <c r="O76" i="24" s="1"/>
  <c r="O78" i="24" s="1"/>
  <c r="G75" i="25"/>
  <c r="G77" i="25" s="1"/>
  <c r="O75" i="25"/>
  <c r="O77" i="25" s="1"/>
  <c r="T75" i="24"/>
  <c r="T77" i="24" s="1"/>
  <c r="H75" i="25"/>
  <c r="H77" i="25" s="1"/>
  <c r="P75" i="25"/>
  <c r="P77" i="25" s="1"/>
  <c r="D75" i="25"/>
  <c r="D77" i="25" s="1"/>
  <c r="L75" i="25"/>
  <c r="L77" i="25" s="1"/>
  <c r="T75" i="25"/>
  <c r="T77" i="25" s="1"/>
  <c r="C75" i="25"/>
  <c r="C77" i="25" s="1"/>
  <c r="K75" i="25"/>
  <c r="K77" i="25" s="1"/>
  <c r="J46" i="25"/>
  <c r="S75" i="24"/>
  <c r="S77" i="24" s="1"/>
  <c r="K75" i="24"/>
  <c r="K76" i="24" s="1"/>
  <c r="K78" i="24" s="1"/>
  <c r="C75" i="24"/>
  <c r="C77" i="24" s="1"/>
  <c r="P75" i="24"/>
  <c r="P77" i="24" s="1"/>
  <c r="H75" i="24"/>
  <c r="H77" i="24" s="1"/>
  <c r="G75" i="24"/>
  <c r="G77" i="24" s="1"/>
  <c r="S77" i="25"/>
  <c r="S76" i="25"/>
  <c r="S78" i="25" s="1"/>
  <c r="L75" i="24"/>
  <c r="L77" i="24" s="1"/>
  <c r="E44" i="25"/>
  <c r="F62" i="25" s="1"/>
  <c r="E75" i="25"/>
  <c r="E77" i="25" s="1"/>
  <c r="I75" i="25"/>
  <c r="I77" i="25" s="1"/>
  <c r="M75" i="25"/>
  <c r="M77" i="25" s="1"/>
  <c r="Q75" i="25"/>
  <c r="Q77" i="25" s="1"/>
  <c r="U75" i="25"/>
  <c r="U77" i="25" s="1"/>
  <c r="B75" i="25"/>
  <c r="F75" i="25"/>
  <c r="J75" i="25"/>
  <c r="N75" i="25"/>
  <c r="R75" i="25"/>
  <c r="V75" i="25"/>
  <c r="E34" i="24"/>
  <c r="I46" i="24" s="1"/>
  <c r="E75" i="24"/>
  <c r="E77" i="24" s="1"/>
  <c r="I75" i="24"/>
  <c r="I77" i="24" s="1"/>
  <c r="M75" i="24"/>
  <c r="M77" i="24" s="1"/>
  <c r="Q75" i="24"/>
  <c r="Q77" i="24" s="1"/>
  <c r="U75" i="24"/>
  <c r="U77" i="24" s="1"/>
  <c r="D76" i="24"/>
  <c r="D78" i="24" s="1"/>
  <c r="B75" i="24"/>
  <c r="F75" i="24"/>
  <c r="J75" i="24"/>
  <c r="N75" i="24"/>
  <c r="R75" i="24"/>
  <c r="V75" i="24"/>
  <c r="C76" i="25" l="1"/>
  <c r="C78" i="25" s="1"/>
  <c r="K76" i="25"/>
  <c r="K78" i="25" s="1"/>
  <c r="O77" i="24"/>
  <c r="H76" i="24"/>
  <c r="H78" i="24" s="1"/>
  <c r="I76" i="25"/>
  <c r="I78" i="25" s="1"/>
  <c r="O76" i="25"/>
  <c r="O78" i="25" s="1"/>
  <c r="C76" i="24"/>
  <c r="C78" i="24" s="1"/>
  <c r="P76" i="25"/>
  <c r="P78" i="25" s="1"/>
  <c r="G76" i="25"/>
  <c r="G78" i="25" s="1"/>
  <c r="H76" i="25"/>
  <c r="H78" i="25" s="1"/>
  <c r="T76" i="24"/>
  <c r="T78" i="24" s="1"/>
  <c r="P76" i="24"/>
  <c r="P78" i="24" s="1"/>
  <c r="S76" i="24"/>
  <c r="S78" i="24" s="1"/>
  <c r="G76" i="24"/>
  <c r="G78" i="24" s="1"/>
  <c r="K77" i="24"/>
  <c r="E76" i="25"/>
  <c r="E78" i="25" s="1"/>
  <c r="L76" i="25"/>
  <c r="L78" i="25" s="1"/>
  <c r="I76" i="24"/>
  <c r="I78" i="24" s="1"/>
  <c r="Q76" i="25"/>
  <c r="Q78" i="25" s="1"/>
  <c r="M76" i="25"/>
  <c r="M78" i="25" s="1"/>
  <c r="L76" i="24"/>
  <c r="L78" i="24" s="1"/>
  <c r="T76" i="25"/>
  <c r="T78" i="25" s="1"/>
  <c r="D76" i="25"/>
  <c r="D78" i="25" s="1"/>
  <c r="Q76" i="24"/>
  <c r="Q78" i="24" s="1"/>
  <c r="N77" i="25"/>
  <c r="N76" i="25"/>
  <c r="N78" i="25" s="1"/>
  <c r="B77" i="25"/>
  <c r="B76" i="25"/>
  <c r="B78" i="25" s="1"/>
  <c r="M76" i="24"/>
  <c r="M78" i="24" s="1"/>
  <c r="J77" i="25"/>
  <c r="J76" i="25"/>
  <c r="J78" i="25" s="1"/>
  <c r="U76" i="25"/>
  <c r="U78" i="25" s="1"/>
  <c r="R77" i="25"/>
  <c r="R76" i="25"/>
  <c r="R78" i="25" s="1"/>
  <c r="V77" i="25"/>
  <c r="V76" i="25"/>
  <c r="V78" i="25" s="1"/>
  <c r="F77" i="25"/>
  <c r="F76" i="25"/>
  <c r="F78" i="25" s="1"/>
  <c r="I46" i="25"/>
  <c r="R77" i="24"/>
  <c r="R76" i="24"/>
  <c r="R78" i="24" s="1"/>
  <c r="F62" i="24"/>
  <c r="J46" i="24"/>
  <c r="F77" i="24"/>
  <c r="F76" i="24"/>
  <c r="F78" i="24" s="1"/>
  <c r="N77" i="24"/>
  <c r="N76" i="24"/>
  <c r="N78" i="24" s="1"/>
  <c r="V77" i="24"/>
  <c r="V76" i="24"/>
  <c r="V78" i="24" s="1"/>
  <c r="B77" i="24"/>
  <c r="B76" i="24"/>
  <c r="B78" i="24" s="1"/>
  <c r="E76" i="24"/>
  <c r="E78" i="24" s="1"/>
  <c r="J77" i="24"/>
  <c r="J76" i="24"/>
  <c r="J78" i="24" s="1"/>
  <c r="U76" i="24"/>
  <c r="U78" i="24" s="1"/>
  <c r="J11" i="22" l="1"/>
  <c r="J7" i="22"/>
  <c r="J9" i="22"/>
  <c r="K9" i="22" s="1"/>
  <c r="G78" i="1" s="1"/>
  <c r="J10" i="22"/>
  <c r="J5" i="22"/>
  <c r="K5" i="22" s="1"/>
  <c r="G76" i="1" s="1"/>
  <c r="J4" i="22"/>
  <c r="K4" i="22" s="1"/>
  <c r="G72" i="1" s="1"/>
  <c r="J8" i="22"/>
  <c r="K8" i="22" s="1"/>
  <c r="G74" i="1" s="1"/>
  <c r="C56" i="1"/>
  <c r="E79" i="1"/>
  <c r="E75" i="1"/>
  <c r="E77" i="1"/>
  <c r="E73" i="1"/>
  <c r="I14" i="9"/>
  <c r="I15" i="9"/>
  <c r="E15" i="9"/>
  <c r="E14" i="9"/>
  <c r="F90" i="1"/>
  <c r="F89" i="1"/>
  <c r="F84" i="1"/>
  <c r="F88" i="1"/>
  <c r="F87" i="1"/>
  <c r="F83" i="1"/>
  <c r="B90" i="1"/>
  <c r="B86" i="1"/>
  <c r="B89" i="1"/>
  <c r="B85" i="1"/>
  <c r="B88" i="1"/>
  <c r="B84" i="1"/>
  <c r="P3" i="20"/>
  <c r="G7" i="22" l="1"/>
  <c r="H7" i="22"/>
  <c r="K11" i="22"/>
  <c r="G79" i="1" s="1"/>
  <c r="K10" i="22"/>
  <c r="G75" i="1" s="1"/>
  <c r="J6" i="22"/>
  <c r="K6" i="22" s="1"/>
  <c r="G73" i="1" s="1"/>
  <c r="K7" i="22"/>
  <c r="G77" i="1" s="1"/>
  <c r="E18" i="13"/>
  <c r="C61" i="1"/>
  <c r="M4" i="22" l="1"/>
  <c r="N4" i="22" s="1"/>
  <c r="H72" i="1" s="1"/>
  <c r="I72" i="1" s="1"/>
  <c r="M8" i="22"/>
  <c r="N8" i="22" s="1"/>
  <c r="M5" i="22"/>
  <c r="N5" i="22" s="1"/>
  <c r="H76" i="1" s="1"/>
  <c r="I76" i="1" s="1"/>
  <c r="F76" i="1" s="1"/>
  <c r="I7" i="26" s="1"/>
  <c r="M9" i="22"/>
  <c r="N9" i="22" s="1"/>
  <c r="M11" i="22"/>
  <c r="M6" i="22"/>
  <c r="N6" i="22" s="1"/>
  <c r="H73" i="1" s="1"/>
  <c r="M10" i="22"/>
  <c r="M7" i="22"/>
  <c r="E23" i="4"/>
  <c r="E18" i="19"/>
  <c r="E18" i="18"/>
  <c r="E18" i="17"/>
  <c r="E18" i="12"/>
  <c r="E18" i="16"/>
  <c r="E18" i="11"/>
  <c r="E18" i="15"/>
  <c r="E18" i="10"/>
  <c r="E18" i="4"/>
  <c r="J4" i="6"/>
  <c r="J55" i="6" s="1"/>
  <c r="E6" i="21"/>
  <c r="D6" i="21" s="1"/>
  <c r="E5" i="21"/>
  <c r="D5" i="21" s="1"/>
  <c r="E4" i="21"/>
  <c r="D4" i="21" s="1"/>
  <c r="N7" i="22" l="1"/>
  <c r="H77" i="1" s="1"/>
  <c r="I77" i="1" s="1"/>
  <c r="F77" i="1" s="1"/>
  <c r="H78" i="1"/>
  <c r="I78" i="1" s="1"/>
  <c r="F78" i="1" s="1"/>
  <c r="I9" i="26" s="1"/>
  <c r="H74" i="1"/>
  <c r="I74" i="1" s="1"/>
  <c r="N11" i="22"/>
  <c r="H79" i="1" s="1"/>
  <c r="I79" i="1" s="1"/>
  <c r="F79" i="1" s="1"/>
  <c r="I10" i="26" s="1"/>
  <c r="N10" i="22"/>
  <c r="H75" i="1" s="1"/>
  <c r="I75" i="1" s="1"/>
  <c r="F75" i="1" s="1"/>
  <c r="I6" i="26" s="1"/>
  <c r="E23" i="25"/>
  <c r="E23" i="24"/>
  <c r="I73" i="1"/>
  <c r="F73" i="1" s="1"/>
  <c r="K53" i="1"/>
  <c r="Q3" i="20"/>
  <c r="J9" i="6"/>
  <c r="J8" i="6"/>
  <c r="J24" i="6"/>
  <c r="J40" i="6"/>
  <c r="J25" i="6"/>
  <c r="J41" i="6"/>
  <c r="J10" i="6"/>
  <c r="J26" i="6"/>
  <c r="J42" i="6"/>
  <c r="J11" i="6"/>
  <c r="J27" i="6"/>
  <c r="J43" i="6"/>
  <c r="J16" i="6"/>
  <c r="J32" i="6"/>
  <c r="J48" i="6"/>
  <c r="J17" i="6"/>
  <c r="J33" i="6"/>
  <c r="J49" i="6"/>
  <c r="J18" i="6"/>
  <c r="J34" i="6"/>
  <c r="J50" i="6"/>
  <c r="J19" i="6"/>
  <c r="J35" i="6"/>
  <c r="J51" i="6"/>
  <c r="J12" i="6"/>
  <c r="J20" i="6"/>
  <c r="J28" i="6"/>
  <c r="J36" i="6"/>
  <c r="J44" i="6"/>
  <c r="J52" i="6"/>
  <c r="J5" i="6"/>
  <c r="J13" i="6"/>
  <c r="J21" i="6"/>
  <c r="J29" i="6"/>
  <c r="J37" i="6"/>
  <c r="J45" i="6"/>
  <c r="J53" i="6"/>
  <c r="J6" i="6"/>
  <c r="J14" i="6"/>
  <c r="J22" i="6"/>
  <c r="J30" i="6"/>
  <c r="J38" i="6"/>
  <c r="J46" i="6"/>
  <c r="J54" i="6"/>
  <c r="J7" i="6"/>
  <c r="J15" i="6"/>
  <c r="J23" i="6"/>
  <c r="J31" i="6"/>
  <c r="J39" i="6"/>
  <c r="J47" i="6"/>
  <c r="C57" i="1"/>
  <c r="E22" i="25" s="1"/>
  <c r="I8" i="26" l="1"/>
  <c r="J33" i="1" a="1"/>
  <c r="J33" i="1" s="1"/>
  <c r="I4" i="26"/>
  <c r="G33" i="1" a="1"/>
  <c r="G33" i="1" s="1"/>
  <c r="E22" i="24"/>
  <c r="E22" i="19"/>
  <c r="E22" i="4"/>
  <c r="E22" i="18"/>
  <c r="E22" i="17"/>
  <c r="E22" i="12"/>
  <c r="E22" i="16"/>
  <c r="E22" i="11"/>
  <c r="E22" i="10"/>
  <c r="E22" i="13"/>
  <c r="G13" i="9"/>
  <c r="G12" i="9"/>
  <c r="G6" i="9"/>
  <c r="G5" i="9"/>
  <c r="G4" i="9"/>
  <c r="G3" i="9"/>
  <c r="E23" i="19"/>
  <c r="E23" i="18"/>
  <c r="E23" i="17"/>
  <c r="E23" i="12"/>
  <c r="E23" i="16"/>
  <c r="E23" i="11"/>
  <c r="E23" i="15"/>
  <c r="E23" i="10"/>
  <c r="E23" i="13"/>
  <c r="E41" i="13" l="1"/>
  <c r="E19" i="9" l="1"/>
  <c r="E18" i="9" l="1"/>
  <c r="C58" i="1" l="1"/>
  <c r="E20" i="24" l="1"/>
  <c r="E20" i="25"/>
  <c r="N19" i="20"/>
  <c r="C60" i="1"/>
  <c r="C59" i="1"/>
  <c r="C67" i="1"/>
  <c r="A11" i="22" l="1"/>
  <c r="A10" i="22"/>
  <c r="A5" i="22"/>
  <c r="A9" i="22"/>
  <c r="A4" i="22"/>
  <c r="A8" i="22"/>
  <c r="A7" i="22"/>
  <c r="C68" i="1"/>
  <c r="R31" i="21" s="1"/>
  <c r="AJ8" i="20"/>
  <c r="AK8" i="20" s="1"/>
  <c r="AJ12" i="20"/>
  <c r="AL12" i="20" s="1"/>
  <c r="L12" i="20"/>
  <c r="N13" i="20"/>
  <c r="L13" i="20"/>
  <c r="L9" i="20"/>
  <c r="L18" i="20"/>
  <c r="N7" i="20"/>
  <c r="L6" i="20"/>
  <c r="L7" i="20"/>
  <c r="N6" i="20"/>
  <c r="N15" i="20"/>
  <c r="L19" i="20"/>
  <c r="AJ6" i="20"/>
  <c r="AK6" i="20" s="1"/>
  <c r="L10" i="20"/>
  <c r="L14" i="20"/>
  <c r="L15" i="20"/>
  <c r="N14" i="20"/>
  <c r="N8" i="20"/>
  <c r="E21" i="24"/>
  <c r="AJ10" i="20"/>
  <c r="AK10" i="20" s="1"/>
  <c r="L11" i="20"/>
  <c r="L8" i="20"/>
  <c r="N12" i="20"/>
  <c r="N9" i="20"/>
  <c r="N10" i="20"/>
  <c r="E21" i="25"/>
  <c r="E63" i="25"/>
  <c r="N18" i="20"/>
  <c r="N11" i="20"/>
  <c r="E69" i="24"/>
  <c r="R24" i="21"/>
  <c r="Q26" i="21"/>
  <c r="T26" i="21" s="1"/>
  <c r="D101" i="1" s="1"/>
  <c r="E100" i="1" s="1"/>
  <c r="C101" i="1" s="1"/>
  <c r="Q22" i="21"/>
  <c r="T22" i="21" s="1"/>
  <c r="D99" i="1" s="1"/>
  <c r="E98" i="1" s="1"/>
  <c r="C99" i="1" s="1"/>
  <c r="R23" i="21"/>
  <c r="Q25" i="21"/>
  <c r="T25" i="21" s="1"/>
  <c r="D96" i="1" s="1"/>
  <c r="E95" i="1" s="1"/>
  <c r="C96" i="1" s="1"/>
  <c r="Q21" i="21"/>
  <c r="A21" i="21" s="1"/>
  <c r="R21" i="21"/>
  <c r="Q23" i="21"/>
  <c r="A23" i="21" s="1"/>
  <c r="R26" i="21"/>
  <c r="R22" i="21"/>
  <c r="Q24" i="21"/>
  <c r="T24" i="21" s="1"/>
  <c r="D100" i="1" s="1"/>
  <c r="E99" i="1" s="1"/>
  <c r="C100" i="1" s="1"/>
  <c r="R25" i="21"/>
  <c r="M79" i="25"/>
  <c r="N79" i="25"/>
  <c r="Q9" i="21"/>
  <c r="Q5" i="21"/>
  <c r="Q8" i="21"/>
  <c r="Q6" i="21"/>
  <c r="Q4" i="21"/>
  <c r="Q7" i="21"/>
  <c r="Q14" i="21"/>
  <c r="Q16" i="21"/>
  <c r="Q13" i="21"/>
  <c r="Q18" i="21"/>
  <c r="Q15" i="21"/>
  <c r="Q17" i="21"/>
  <c r="R18" i="21"/>
  <c r="R7" i="21"/>
  <c r="R17" i="21"/>
  <c r="R6" i="21"/>
  <c r="R14" i="21"/>
  <c r="R16" i="21"/>
  <c r="R5" i="21"/>
  <c r="R15" i="21"/>
  <c r="R4" i="21"/>
  <c r="R13" i="21"/>
  <c r="R9" i="21"/>
  <c r="R8" i="21"/>
  <c r="I53" i="19"/>
  <c r="I52" i="19"/>
  <c r="I51" i="19"/>
  <c r="E41" i="19"/>
  <c r="E37" i="19"/>
  <c r="E36" i="19"/>
  <c r="E31" i="19"/>
  <c r="E27" i="19"/>
  <c r="D26" i="19"/>
  <c r="P75" i="19"/>
  <c r="P77" i="19" s="1"/>
  <c r="E17" i="19"/>
  <c r="E43" i="18"/>
  <c r="I53" i="18"/>
  <c r="I52" i="18"/>
  <c r="I51" i="18"/>
  <c r="E41" i="18"/>
  <c r="E37" i="18"/>
  <c r="E36" i="18"/>
  <c r="E31" i="18"/>
  <c r="E27" i="18"/>
  <c r="D26" i="18"/>
  <c r="E17" i="18"/>
  <c r="AK7" i="20" l="1"/>
  <c r="AK11" i="20"/>
  <c r="AK14" i="20" s="1"/>
  <c r="AK9" i="20"/>
  <c r="AL8" i="20"/>
  <c r="AL9" i="20" s="1"/>
  <c r="V25" i="21"/>
  <c r="Y25" i="21" s="1"/>
  <c r="H95" i="1" s="1"/>
  <c r="I95" i="1" s="1"/>
  <c r="G95" i="1" s="1"/>
  <c r="AK12" i="20"/>
  <c r="AL10" i="20"/>
  <c r="AL11" i="20" s="1"/>
  <c r="AL14" i="20" s="1"/>
  <c r="AL18" i="20" s="1"/>
  <c r="R29" i="21"/>
  <c r="V23" i="21"/>
  <c r="Y23" i="21" s="1"/>
  <c r="H94" i="1" s="1"/>
  <c r="I94" i="1" s="1"/>
  <c r="G94" i="1" s="1"/>
  <c r="R30" i="21"/>
  <c r="V21" i="21"/>
  <c r="Y21" i="21" s="1"/>
  <c r="H93" i="1" s="1"/>
  <c r="I93" i="1" s="1"/>
  <c r="G93" i="1" s="1"/>
  <c r="R28" i="21"/>
  <c r="V22" i="21"/>
  <c r="Y22" i="21" s="1"/>
  <c r="H98" i="1" s="1"/>
  <c r="I98" i="1" s="1"/>
  <c r="G98" i="1" s="1"/>
  <c r="V24" i="21"/>
  <c r="Y24" i="21" s="1"/>
  <c r="H99" i="1" s="1"/>
  <c r="I99" i="1" s="1"/>
  <c r="G99" i="1" s="1"/>
  <c r="V26" i="21"/>
  <c r="Y26" i="21" s="1"/>
  <c r="H100" i="1" s="1"/>
  <c r="I100" i="1" s="1"/>
  <c r="G100" i="1" s="1"/>
  <c r="Q28" i="21"/>
  <c r="T28" i="21" s="1"/>
  <c r="D104" i="1" s="1"/>
  <c r="E103" i="1" s="1"/>
  <c r="C104" i="1" s="1"/>
  <c r="Q29" i="21"/>
  <c r="T29" i="21" s="1"/>
  <c r="H103" i="1" s="1"/>
  <c r="I103" i="1" s="1"/>
  <c r="G103" i="1" s="1"/>
  <c r="Q30" i="21"/>
  <c r="T30" i="21" s="1"/>
  <c r="D105" i="1" s="1"/>
  <c r="E104" i="1" s="1"/>
  <c r="C105" i="1" s="1"/>
  <c r="Q31" i="21"/>
  <c r="T31" i="21" s="1"/>
  <c r="H104" i="1" s="1"/>
  <c r="I104" i="1" s="1"/>
  <c r="G104" i="1" s="1"/>
  <c r="K6" i="26" a="1"/>
  <c r="K6" i="26" s="1"/>
  <c r="AL6" i="20"/>
  <c r="AL7" i="20" s="1"/>
  <c r="E48" i="24"/>
  <c r="C19" i="20" s="1"/>
  <c r="K79" i="25"/>
  <c r="E55" i="25"/>
  <c r="S79" i="25"/>
  <c r="E69" i="25"/>
  <c r="O79" i="25"/>
  <c r="F79" i="25"/>
  <c r="U79" i="25"/>
  <c r="D79" i="25"/>
  <c r="T79" i="25"/>
  <c r="L79" i="25"/>
  <c r="E64" i="25"/>
  <c r="E47" i="25"/>
  <c r="J54" i="25" s="1"/>
  <c r="J79" i="25"/>
  <c r="V79" i="25"/>
  <c r="I79" i="25"/>
  <c r="C79" i="25"/>
  <c r="H79" i="25"/>
  <c r="P79" i="25"/>
  <c r="E58" i="25"/>
  <c r="E48" i="25"/>
  <c r="C18" i="20" s="1"/>
  <c r="B79" i="25"/>
  <c r="R79" i="25"/>
  <c r="E79" i="25"/>
  <c r="Q79" i="25"/>
  <c r="G79" i="25"/>
  <c r="E50" i="25"/>
  <c r="F18" i="20" s="1"/>
  <c r="J40" i="1" a="1"/>
  <c r="J40" i="1" s="1"/>
  <c r="V79" i="24"/>
  <c r="K79" i="24"/>
  <c r="T79" i="24"/>
  <c r="J79" i="24"/>
  <c r="C79" i="24"/>
  <c r="E64" i="24"/>
  <c r="N79" i="24"/>
  <c r="Q79" i="24"/>
  <c r="I79" i="24"/>
  <c r="E58" i="24"/>
  <c r="B79" i="24"/>
  <c r="D79" i="24"/>
  <c r="S79" i="24"/>
  <c r="E47" i="24"/>
  <c r="J47" i="24" s="1"/>
  <c r="F79" i="24"/>
  <c r="E79" i="24"/>
  <c r="O79" i="24"/>
  <c r="L79" i="24"/>
  <c r="H79" i="24"/>
  <c r="E55" i="24"/>
  <c r="E63" i="24"/>
  <c r="E51" i="24" s="1"/>
  <c r="G19" i="20" s="1"/>
  <c r="U79" i="24"/>
  <c r="R79" i="24"/>
  <c r="G79" i="24"/>
  <c r="P79" i="24"/>
  <c r="M79" i="24"/>
  <c r="E50" i="24"/>
  <c r="F19" i="20" s="1"/>
  <c r="W25" i="21"/>
  <c r="W23" i="21"/>
  <c r="W21" i="21"/>
  <c r="W26" i="21"/>
  <c r="W24" i="21"/>
  <c r="W22" i="21"/>
  <c r="A24" i="21"/>
  <c r="J38" i="1" a="1"/>
  <c r="J38" i="1" s="1"/>
  <c r="T21" i="21"/>
  <c r="D94" i="1" s="1"/>
  <c r="E93" i="1" s="1"/>
  <c r="C94" i="1" s="1"/>
  <c r="A25" i="21"/>
  <c r="T23" i="21"/>
  <c r="D95" i="1" s="1"/>
  <c r="E94" i="1" s="1"/>
  <c r="C95" i="1" s="1"/>
  <c r="A22" i="21"/>
  <c r="A26" i="21"/>
  <c r="E67" i="25"/>
  <c r="E51" i="25"/>
  <c r="G18" i="20" s="1"/>
  <c r="E49" i="25"/>
  <c r="D18" i="20" s="1"/>
  <c r="A6" i="22"/>
  <c r="E44" i="19"/>
  <c r="E34" i="18"/>
  <c r="A15" i="21"/>
  <c r="T15" i="21"/>
  <c r="H88" i="1" s="1"/>
  <c r="I88" i="1" s="1"/>
  <c r="G88" i="1" s="1"/>
  <c r="A8" i="21"/>
  <c r="T8" i="21"/>
  <c r="D86" i="1" s="1"/>
  <c r="E85" i="1" s="1"/>
  <c r="C86" i="1" s="1"/>
  <c r="A5" i="21"/>
  <c r="T5" i="21"/>
  <c r="D88" i="1" s="1"/>
  <c r="E87" i="1" s="1"/>
  <c r="C88" i="1" s="1"/>
  <c r="A9" i="21"/>
  <c r="T9" i="21"/>
  <c r="D90" i="1" s="1"/>
  <c r="E89" i="1" s="1"/>
  <c r="C90" i="1" s="1"/>
  <c r="A4" i="21"/>
  <c r="T4" i="21"/>
  <c r="D84" i="1" s="1"/>
  <c r="E83" i="1" s="1"/>
  <c r="C84" i="1" s="1"/>
  <c r="A18" i="21"/>
  <c r="T18" i="21"/>
  <c r="H90" i="1" s="1"/>
  <c r="I90" i="1" s="1"/>
  <c r="G90" i="1" s="1"/>
  <c r="A7" i="21"/>
  <c r="T7" i="21"/>
  <c r="D89" i="1" s="1"/>
  <c r="E88" i="1" s="1"/>
  <c r="C89" i="1" s="1"/>
  <c r="A13" i="21"/>
  <c r="T13" i="21"/>
  <c r="H83" i="1" s="1"/>
  <c r="I83" i="1" s="1"/>
  <c r="G83" i="1" s="1"/>
  <c r="A16" i="21"/>
  <c r="T16" i="21"/>
  <c r="H84" i="1" s="1"/>
  <c r="I84" i="1" s="1"/>
  <c r="G84" i="1" s="1"/>
  <c r="A14" i="21"/>
  <c r="T14" i="21"/>
  <c r="H87" i="1" s="1"/>
  <c r="I87" i="1" s="1"/>
  <c r="G87" i="1" s="1"/>
  <c r="A6" i="21"/>
  <c r="T6" i="21"/>
  <c r="D85" i="1" s="1"/>
  <c r="E84" i="1" s="1"/>
  <c r="C85" i="1" s="1"/>
  <c r="A17" i="21"/>
  <c r="T17" i="21"/>
  <c r="H89" i="1" s="1"/>
  <c r="I89" i="1" s="1"/>
  <c r="G89" i="1" s="1"/>
  <c r="AL13" i="20"/>
  <c r="AL15" i="20"/>
  <c r="AL19" i="20" s="1"/>
  <c r="E21" i="19"/>
  <c r="E21" i="10"/>
  <c r="E21" i="4"/>
  <c r="E21" i="18"/>
  <c r="E21" i="13"/>
  <c r="E21" i="17"/>
  <c r="E21" i="12"/>
  <c r="E21" i="16"/>
  <c r="E21" i="11"/>
  <c r="A19" i="11"/>
  <c r="E21" i="15"/>
  <c r="E44" i="18"/>
  <c r="J46" i="18" s="1"/>
  <c r="E34" i="19"/>
  <c r="G75" i="19"/>
  <c r="G77" i="19" s="1"/>
  <c r="I75" i="19"/>
  <c r="I77" i="19" s="1"/>
  <c r="O75" i="19"/>
  <c r="O77" i="19" s="1"/>
  <c r="H75" i="19"/>
  <c r="H77" i="19" s="1"/>
  <c r="Q75" i="19"/>
  <c r="Q77" i="19" s="1"/>
  <c r="B75" i="19"/>
  <c r="K75" i="19"/>
  <c r="D75" i="19"/>
  <c r="L75" i="19"/>
  <c r="T75" i="19"/>
  <c r="J75" i="19"/>
  <c r="C75" i="19"/>
  <c r="S75" i="19"/>
  <c r="E75" i="19"/>
  <c r="E77" i="19" s="1"/>
  <c r="M75" i="19"/>
  <c r="M77" i="19" s="1"/>
  <c r="U75" i="19"/>
  <c r="U77" i="19" s="1"/>
  <c r="P76" i="19"/>
  <c r="P78" i="19" s="1"/>
  <c r="R75" i="19"/>
  <c r="F75" i="19"/>
  <c r="F77" i="19" s="1"/>
  <c r="N75" i="19"/>
  <c r="N77" i="19" s="1"/>
  <c r="V75" i="19"/>
  <c r="V77" i="19" s="1"/>
  <c r="G75" i="18"/>
  <c r="G77" i="18" s="1"/>
  <c r="O75" i="18"/>
  <c r="O77" i="18" s="1"/>
  <c r="P75" i="18"/>
  <c r="P77" i="18" s="1"/>
  <c r="Q75" i="18"/>
  <c r="Q77" i="18" s="1"/>
  <c r="C75" i="18"/>
  <c r="C77" i="18" s="1"/>
  <c r="S75" i="18"/>
  <c r="S77" i="18" s="1"/>
  <c r="H75" i="18"/>
  <c r="H77" i="18" s="1"/>
  <c r="I75" i="18"/>
  <c r="I77" i="18" s="1"/>
  <c r="K75" i="18"/>
  <c r="K77" i="18" s="1"/>
  <c r="I46" i="18"/>
  <c r="B75" i="18"/>
  <c r="J75" i="18"/>
  <c r="R75" i="18"/>
  <c r="D75" i="18"/>
  <c r="L75" i="18"/>
  <c r="T75" i="18"/>
  <c r="E75" i="18"/>
  <c r="E77" i="18" s="1"/>
  <c r="M75" i="18"/>
  <c r="M77" i="18" s="1"/>
  <c r="U75" i="18"/>
  <c r="U77" i="18" s="1"/>
  <c r="F75" i="18"/>
  <c r="N75" i="18"/>
  <c r="V75" i="18"/>
  <c r="E36" i="17"/>
  <c r="E31" i="17"/>
  <c r="E27" i="17"/>
  <c r="D26" i="17"/>
  <c r="I53" i="17"/>
  <c r="I52" i="17"/>
  <c r="I51" i="17"/>
  <c r="E41" i="17"/>
  <c r="E37" i="17"/>
  <c r="E17" i="17"/>
  <c r="E31" i="16"/>
  <c r="D26" i="16"/>
  <c r="E27" i="16"/>
  <c r="I53" i="16"/>
  <c r="I52" i="16"/>
  <c r="I51" i="16"/>
  <c r="E41" i="16"/>
  <c r="E37" i="16"/>
  <c r="E36" i="16"/>
  <c r="P75" i="16"/>
  <c r="P77" i="16" s="1"/>
  <c r="E17" i="16"/>
  <c r="E41" i="15"/>
  <c r="E37" i="15"/>
  <c r="E36" i="15"/>
  <c r="E27" i="15"/>
  <c r="I53" i="15"/>
  <c r="I52" i="15"/>
  <c r="I51" i="15"/>
  <c r="E31" i="15"/>
  <c r="D26" i="15"/>
  <c r="Q75" i="15"/>
  <c r="Q77" i="15" s="1"/>
  <c r="E17" i="15"/>
  <c r="E37" i="13"/>
  <c r="E44" i="13" s="1"/>
  <c r="E36" i="13"/>
  <c r="I53" i="13"/>
  <c r="I52" i="13"/>
  <c r="I51" i="13"/>
  <c r="E31" i="13"/>
  <c r="E27" i="13"/>
  <c r="D26" i="13"/>
  <c r="H75" i="13"/>
  <c r="H77" i="13" s="1"/>
  <c r="E17" i="13"/>
  <c r="E31" i="12"/>
  <c r="D26" i="12"/>
  <c r="I53" i="12"/>
  <c r="I52" i="12"/>
  <c r="I51" i="12"/>
  <c r="E41" i="12"/>
  <c r="E37" i="12"/>
  <c r="E36" i="12"/>
  <c r="E27" i="12"/>
  <c r="E34" i="12" s="1"/>
  <c r="Q75" i="12"/>
  <c r="Q77" i="12" s="1"/>
  <c r="E17" i="12"/>
  <c r="E31" i="11"/>
  <c r="D26" i="11"/>
  <c r="I53" i="11"/>
  <c r="I52" i="11"/>
  <c r="I51" i="11"/>
  <c r="E41" i="11"/>
  <c r="E37" i="11"/>
  <c r="E36" i="11"/>
  <c r="E27" i="11"/>
  <c r="O75" i="11"/>
  <c r="O77" i="11" s="1"/>
  <c r="E17" i="11"/>
  <c r="E31" i="10"/>
  <c r="D26" i="10"/>
  <c r="I53" i="10"/>
  <c r="I52" i="10"/>
  <c r="I51" i="10"/>
  <c r="E41" i="10"/>
  <c r="E37" i="10"/>
  <c r="E36" i="10"/>
  <c r="E27" i="10"/>
  <c r="V75" i="10"/>
  <c r="V77" i="10" s="1"/>
  <c r="E17" i="10"/>
  <c r="E36" i="4"/>
  <c r="E17" i="4"/>
  <c r="E41" i="4"/>
  <c r="E37" i="4"/>
  <c r="E31" i="4"/>
  <c r="E27" i="4"/>
  <c r="D26" i="4"/>
  <c r="L57" i="1" l="1"/>
  <c r="L58" i="1"/>
  <c r="L63" i="1"/>
  <c r="L59" i="1"/>
  <c r="L60" i="1"/>
  <c r="L55" i="1"/>
  <c r="L56" i="1"/>
  <c r="AK15" i="20"/>
  <c r="L61" i="1"/>
  <c r="AK13" i="20"/>
  <c r="L62" i="1" s="1"/>
  <c r="L5" i="26" a="1"/>
  <c r="L5" i="26" s="1"/>
  <c r="L3" i="26" a="1"/>
  <c r="L3" i="26" s="1"/>
  <c r="J41" i="1" a="1"/>
  <c r="J41" i="1" s="1"/>
  <c r="G41" i="1" a="1"/>
  <c r="G41" i="1" s="1"/>
  <c r="J11" i="26" a="1"/>
  <c r="J11" i="26" s="1"/>
  <c r="J9" i="26" a="1"/>
  <c r="J9" i="26" s="1"/>
  <c r="K3" i="26" a="1"/>
  <c r="K3" i="26" s="1"/>
  <c r="J3" i="26" a="1"/>
  <c r="J3" i="26" s="1"/>
  <c r="J6" i="26" a="1"/>
  <c r="J6" i="26" s="1"/>
  <c r="I47" i="24"/>
  <c r="I54" i="25"/>
  <c r="I47" i="25"/>
  <c r="J47" i="25"/>
  <c r="J50" i="25" s="1"/>
  <c r="J53" i="25" s="1"/>
  <c r="J54" i="24"/>
  <c r="I54" i="24"/>
  <c r="G38" i="1" a="1"/>
  <c r="G38" i="1" s="1"/>
  <c r="E67" i="24"/>
  <c r="E70" i="24" s="1"/>
  <c r="E71" i="24" s="1"/>
  <c r="E72" i="24" s="1"/>
  <c r="E49" i="24"/>
  <c r="D19" i="20" s="1"/>
  <c r="G40" i="1" a="1"/>
  <c r="G40" i="1" s="1"/>
  <c r="J37" i="1" a="1"/>
  <c r="J37" i="1" s="1"/>
  <c r="G37" i="1" a="1"/>
  <c r="G37" i="1" s="1"/>
  <c r="E70" i="25"/>
  <c r="E71" i="25" s="1"/>
  <c r="E72" i="25" s="1"/>
  <c r="L82" i="25"/>
  <c r="L83" i="25" s="1"/>
  <c r="G82" i="25"/>
  <c r="G83" i="25" s="1"/>
  <c r="D82" i="25"/>
  <c r="D83" i="25" s="1"/>
  <c r="E82" i="25"/>
  <c r="E83" i="25" s="1"/>
  <c r="P82" i="25"/>
  <c r="P83" i="25" s="1"/>
  <c r="Q82" i="25"/>
  <c r="Q83" i="25" s="1"/>
  <c r="O82" i="25"/>
  <c r="O83" i="25" s="1"/>
  <c r="M82" i="25"/>
  <c r="M83" i="25" s="1"/>
  <c r="I82" i="25"/>
  <c r="I83" i="25" s="1"/>
  <c r="T82" i="25"/>
  <c r="T83" i="25" s="1"/>
  <c r="S82" i="25"/>
  <c r="S83" i="25" s="1"/>
  <c r="K82" i="25"/>
  <c r="K83" i="25" s="1"/>
  <c r="H82" i="25"/>
  <c r="H83" i="25" s="1"/>
  <c r="C82" i="25"/>
  <c r="C83" i="25" s="1"/>
  <c r="B82" i="25"/>
  <c r="B83" i="25" s="1"/>
  <c r="V82" i="25"/>
  <c r="V83" i="25" s="1"/>
  <c r="F82" i="25"/>
  <c r="F83" i="25" s="1"/>
  <c r="J82" i="25"/>
  <c r="J83" i="25" s="1"/>
  <c r="U82" i="25"/>
  <c r="U83" i="25" s="1"/>
  <c r="N82" i="25"/>
  <c r="N83" i="25" s="1"/>
  <c r="R82" i="25"/>
  <c r="R83" i="25" s="1"/>
  <c r="E66" i="25"/>
  <c r="J49" i="24"/>
  <c r="J52" i="24" s="1"/>
  <c r="J48" i="24"/>
  <c r="J51" i="24" s="1"/>
  <c r="J50" i="24"/>
  <c r="J53" i="24" s="1"/>
  <c r="AK18" i="20"/>
  <c r="L67" i="1" s="1"/>
  <c r="J36" i="1" a="1"/>
  <c r="J36" i="1" s="1"/>
  <c r="G36" i="1" a="1"/>
  <c r="G36" i="1" s="1"/>
  <c r="J46" i="19"/>
  <c r="F62" i="18"/>
  <c r="F62" i="19"/>
  <c r="I46" i="19"/>
  <c r="E44" i="16"/>
  <c r="E44" i="15"/>
  <c r="G76" i="19"/>
  <c r="G78" i="19" s="1"/>
  <c r="O76" i="19"/>
  <c r="O78" i="19" s="1"/>
  <c r="K76" i="18"/>
  <c r="K78" i="18" s="1"/>
  <c r="I76" i="19"/>
  <c r="I78" i="19" s="1"/>
  <c r="F76" i="19"/>
  <c r="F78" i="19" s="1"/>
  <c r="V76" i="19"/>
  <c r="V78" i="19" s="1"/>
  <c r="Q76" i="19"/>
  <c r="Q78" i="19" s="1"/>
  <c r="H76" i="19"/>
  <c r="H78" i="19" s="1"/>
  <c r="H76" i="18"/>
  <c r="H78" i="18" s="1"/>
  <c r="E76" i="19"/>
  <c r="E78" i="19" s="1"/>
  <c r="B77" i="19"/>
  <c r="B76" i="19"/>
  <c r="B78" i="19" s="1"/>
  <c r="G76" i="18"/>
  <c r="G78" i="18" s="1"/>
  <c r="U76" i="19"/>
  <c r="U78" i="19" s="1"/>
  <c r="N76" i="19"/>
  <c r="N78" i="19" s="1"/>
  <c r="T77" i="19"/>
  <c r="T76" i="19"/>
  <c r="T78" i="19" s="1"/>
  <c r="K76" i="19"/>
  <c r="K78" i="19" s="1"/>
  <c r="K77" i="19"/>
  <c r="M76" i="19"/>
  <c r="M78" i="19" s="1"/>
  <c r="R76" i="19"/>
  <c r="R78" i="19" s="1"/>
  <c r="R77" i="19"/>
  <c r="S77" i="19"/>
  <c r="S76" i="19"/>
  <c r="S78" i="19" s="1"/>
  <c r="L77" i="19"/>
  <c r="L76" i="19"/>
  <c r="L78" i="19" s="1"/>
  <c r="J76" i="19"/>
  <c r="J78" i="19" s="1"/>
  <c r="J77" i="19"/>
  <c r="C77" i="19"/>
  <c r="C76" i="19"/>
  <c r="C78" i="19" s="1"/>
  <c r="D77" i="19"/>
  <c r="D76" i="19"/>
  <c r="D78" i="19" s="1"/>
  <c r="P76" i="18"/>
  <c r="P78" i="18" s="1"/>
  <c r="E76" i="18"/>
  <c r="E78" i="18" s="1"/>
  <c r="S76" i="18"/>
  <c r="S78" i="18" s="1"/>
  <c r="C76" i="18"/>
  <c r="C78" i="18" s="1"/>
  <c r="I76" i="18"/>
  <c r="I78" i="18" s="1"/>
  <c r="O76" i="18"/>
  <c r="O78" i="18" s="1"/>
  <c r="Q76" i="18"/>
  <c r="Q78" i="18" s="1"/>
  <c r="V76" i="18"/>
  <c r="V78" i="18" s="1"/>
  <c r="V77" i="18"/>
  <c r="R77" i="18"/>
  <c r="R76" i="18"/>
  <c r="R78" i="18" s="1"/>
  <c r="F76" i="18"/>
  <c r="F78" i="18" s="1"/>
  <c r="F77" i="18"/>
  <c r="T77" i="18"/>
  <c r="T76" i="18"/>
  <c r="T78" i="18" s="1"/>
  <c r="B77" i="18"/>
  <c r="B76" i="18"/>
  <c r="B78" i="18" s="1"/>
  <c r="E34" i="15"/>
  <c r="E34" i="17"/>
  <c r="L77" i="18"/>
  <c r="L76" i="18"/>
  <c r="L78" i="18" s="1"/>
  <c r="N76" i="18"/>
  <c r="N78" i="18" s="1"/>
  <c r="N77" i="18"/>
  <c r="D77" i="18"/>
  <c r="D76" i="18"/>
  <c r="D78" i="18" s="1"/>
  <c r="U76" i="18"/>
  <c r="U78" i="18" s="1"/>
  <c r="J76" i="18"/>
  <c r="J78" i="18" s="1"/>
  <c r="J77" i="18"/>
  <c r="E44" i="10"/>
  <c r="M76" i="18"/>
  <c r="M78" i="18" s="1"/>
  <c r="E44" i="17"/>
  <c r="G75" i="16"/>
  <c r="G77" i="16" s="1"/>
  <c r="O75" i="16"/>
  <c r="O77" i="16" s="1"/>
  <c r="L75" i="17"/>
  <c r="L77" i="17" s="1"/>
  <c r="Q75" i="16"/>
  <c r="Q77" i="16" s="1"/>
  <c r="O75" i="17"/>
  <c r="O77" i="17" s="1"/>
  <c r="P75" i="17"/>
  <c r="P77" i="17" s="1"/>
  <c r="H75" i="17"/>
  <c r="H77" i="17" s="1"/>
  <c r="I75" i="17"/>
  <c r="I77" i="17" s="1"/>
  <c r="Q75" i="17"/>
  <c r="Q77" i="17" s="1"/>
  <c r="D75" i="17"/>
  <c r="D76" i="17" s="1"/>
  <c r="D78" i="17" s="1"/>
  <c r="T75" i="17"/>
  <c r="T76" i="17" s="1"/>
  <c r="T78" i="17" s="1"/>
  <c r="G75" i="17"/>
  <c r="G77" i="17" s="1"/>
  <c r="E34" i="16"/>
  <c r="B75" i="17"/>
  <c r="J75" i="17"/>
  <c r="R75" i="17"/>
  <c r="C75" i="17"/>
  <c r="K75" i="17"/>
  <c r="S75" i="17"/>
  <c r="H75" i="16"/>
  <c r="H77" i="16" s="1"/>
  <c r="E75" i="17"/>
  <c r="E77" i="17" s="1"/>
  <c r="M75" i="17"/>
  <c r="M77" i="17" s="1"/>
  <c r="U75" i="17"/>
  <c r="U77" i="17" s="1"/>
  <c r="I75" i="16"/>
  <c r="I77" i="16" s="1"/>
  <c r="F75" i="17"/>
  <c r="F77" i="17" s="1"/>
  <c r="N75" i="17"/>
  <c r="N77" i="17" s="1"/>
  <c r="V75" i="17"/>
  <c r="V77" i="17" s="1"/>
  <c r="B75" i="16"/>
  <c r="J75" i="16"/>
  <c r="R75" i="16"/>
  <c r="E34" i="13"/>
  <c r="I46" i="13" s="1"/>
  <c r="C75" i="16"/>
  <c r="K75" i="16"/>
  <c r="S75" i="16"/>
  <c r="L75" i="16"/>
  <c r="E75" i="16"/>
  <c r="E77" i="16" s="1"/>
  <c r="M75" i="16"/>
  <c r="M77" i="16" s="1"/>
  <c r="U75" i="16"/>
  <c r="U77" i="16" s="1"/>
  <c r="P76" i="16"/>
  <c r="P78" i="16" s="1"/>
  <c r="D75" i="16"/>
  <c r="T75" i="16"/>
  <c r="F75" i="16"/>
  <c r="F77" i="16" s="1"/>
  <c r="N75" i="16"/>
  <c r="N77" i="16" s="1"/>
  <c r="V75" i="16"/>
  <c r="V77" i="16" s="1"/>
  <c r="O75" i="15"/>
  <c r="O77" i="15" s="1"/>
  <c r="Q76" i="15"/>
  <c r="Q78" i="15" s="1"/>
  <c r="V75" i="15"/>
  <c r="V77" i="15" s="1"/>
  <c r="N75" i="15"/>
  <c r="N77" i="15" s="1"/>
  <c r="F75" i="15"/>
  <c r="F77" i="15" s="1"/>
  <c r="T75" i="15"/>
  <c r="T77" i="15" s="1"/>
  <c r="D75" i="15"/>
  <c r="D77" i="15" s="1"/>
  <c r="K75" i="15"/>
  <c r="K77" i="15" s="1"/>
  <c r="R75" i="15"/>
  <c r="R77" i="15" s="1"/>
  <c r="B75" i="15"/>
  <c r="B77" i="15" s="1"/>
  <c r="U75" i="15"/>
  <c r="U77" i="15" s="1"/>
  <c r="M75" i="15"/>
  <c r="M77" i="15" s="1"/>
  <c r="E75" i="15"/>
  <c r="E77" i="15" s="1"/>
  <c r="L75" i="15"/>
  <c r="L77" i="15" s="1"/>
  <c r="S75" i="15"/>
  <c r="C75" i="15"/>
  <c r="C77" i="15" s="1"/>
  <c r="J75" i="15"/>
  <c r="J77" i="15" s="1"/>
  <c r="G75" i="15"/>
  <c r="G77" i="15" s="1"/>
  <c r="H75" i="15"/>
  <c r="H77" i="15" s="1"/>
  <c r="I75" i="15"/>
  <c r="I77" i="15" s="1"/>
  <c r="P75" i="15"/>
  <c r="P77" i="15" s="1"/>
  <c r="I75" i="13"/>
  <c r="I77" i="13" s="1"/>
  <c r="P75" i="13"/>
  <c r="P77" i="13" s="1"/>
  <c r="Q75" i="13"/>
  <c r="Q77" i="13" s="1"/>
  <c r="R75" i="13"/>
  <c r="R77" i="13" s="1"/>
  <c r="C75" i="13"/>
  <c r="I75" i="12"/>
  <c r="I77" i="12" s="1"/>
  <c r="T75" i="13"/>
  <c r="E44" i="12"/>
  <c r="J46" i="12" s="1"/>
  <c r="G75" i="13"/>
  <c r="G77" i="13" s="1"/>
  <c r="O75" i="13"/>
  <c r="O77" i="13" s="1"/>
  <c r="B75" i="13"/>
  <c r="B77" i="13" s="1"/>
  <c r="K75" i="13"/>
  <c r="D75" i="13"/>
  <c r="P75" i="12"/>
  <c r="P77" i="12" s="1"/>
  <c r="E75" i="13"/>
  <c r="E77" i="13" s="1"/>
  <c r="M75" i="13"/>
  <c r="M77" i="13" s="1"/>
  <c r="U75" i="13"/>
  <c r="U77" i="13" s="1"/>
  <c r="H76" i="13"/>
  <c r="H78" i="13" s="1"/>
  <c r="J75" i="13"/>
  <c r="J77" i="13" s="1"/>
  <c r="S75" i="13"/>
  <c r="L75" i="13"/>
  <c r="F75" i="13"/>
  <c r="F77" i="13" s="1"/>
  <c r="N75" i="13"/>
  <c r="N77" i="13" s="1"/>
  <c r="V75" i="13"/>
  <c r="V77" i="13" s="1"/>
  <c r="P75" i="11"/>
  <c r="P77" i="11" s="1"/>
  <c r="Q75" i="11"/>
  <c r="Q77" i="11" s="1"/>
  <c r="Q76" i="12"/>
  <c r="Q78" i="12" s="1"/>
  <c r="H75" i="12"/>
  <c r="H77" i="12" s="1"/>
  <c r="R75" i="12"/>
  <c r="R77" i="12" s="1"/>
  <c r="S75" i="12"/>
  <c r="D75" i="12"/>
  <c r="E44" i="11"/>
  <c r="G75" i="12"/>
  <c r="G77" i="12" s="1"/>
  <c r="O75" i="12"/>
  <c r="O77" i="12" s="1"/>
  <c r="J75" i="12"/>
  <c r="J77" i="12" s="1"/>
  <c r="C75" i="12"/>
  <c r="L75" i="12"/>
  <c r="H75" i="11"/>
  <c r="H77" i="11" s="1"/>
  <c r="E75" i="12"/>
  <c r="E77" i="12" s="1"/>
  <c r="M75" i="12"/>
  <c r="M77" i="12" s="1"/>
  <c r="U75" i="12"/>
  <c r="U77" i="12" s="1"/>
  <c r="B75" i="12"/>
  <c r="B77" i="12" s="1"/>
  <c r="K75" i="12"/>
  <c r="G75" i="11"/>
  <c r="G77" i="11" s="1"/>
  <c r="T75" i="12"/>
  <c r="I75" i="11"/>
  <c r="I77" i="11" s="1"/>
  <c r="F75" i="12"/>
  <c r="F77" i="12" s="1"/>
  <c r="N75" i="12"/>
  <c r="N77" i="12" s="1"/>
  <c r="V75" i="12"/>
  <c r="V77" i="12" s="1"/>
  <c r="E34" i="11"/>
  <c r="B75" i="11"/>
  <c r="J75" i="11"/>
  <c r="R75" i="11"/>
  <c r="C75" i="11"/>
  <c r="K75" i="11"/>
  <c r="S75" i="11"/>
  <c r="L75" i="11"/>
  <c r="E75" i="11"/>
  <c r="E77" i="11" s="1"/>
  <c r="M75" i="11"/>
  <c r="M77" i="11" s="1"/>
  <c r="U75" i="11"/>
  <c r="U77" i="11" s="1"/>
  <c r="D75" i="11"/>
  <c r="T75" i="11"/>
  <c r="O76" i="11"/>
  <c r="O78" i="11" s="1"/>
  <c r="F75" i="11"/>
  <c r="F77" i="11" s="1"/>
  <c r="N75" i="11"/>
  <c r="N77" i="11" s="1"/>
  <c r="V75" i="11"/>
  <c r="V77" i="11" s="1"/>
  <c r="G75" i="10"/>
  <c r="G77" i="10" s="1"/>
  <c r="H75" i="10"/>
  <c r="H77" i="10" s="1"/>
  <c r="N75" i="10"/>
  <c r="N77" i="10" s="1"/>
  <c r="O75" i="10"/>
  <c r="O77" i="10" s="1"/>
  <c r="P75" i="10"/>
  <c r="P77" i="10" s="1"/>
  <c r="F75" i="10"/>
  <c r="F77" i="10" s="1"/>
  <c r="E34" i="10"/>
  <c r="I75" i="10"/>
  <c r="Q75" i="10"/>
  <c r="B75" i="10"/>
  <c r="R75" i="10"/>
  <c r="C75" i="10"/>
  <c r="C77" i="10" s="1"/>
  <c r="S75" i="10"/>
  <c r="S77" i="10" s="1"/>
  <c r="D75" i="10"/>
  <c r="D77" i="10" s="1"/>
  <c r="L75" i="10"/>
  <c r="L77" i="10" s="1"/>
  <c r="T75" i="10"/>
  <c r="T77" i="10" s="1"/>
  <c r="J75" i="10"/>
  <c r="K75" i="10"/>
  <c r="K77" i="10" s="1"/>
  <c r="V76" i="10"/>
  <c r="V78" i="10" s="1"/>
  <c r="E75" i="10"/>
  <c r="E77" i="10" s="1"/>
  <c r="M75" i="10"/>
  <c r="M77" i="10" s="1"/>
  <c r="U75" i="10"/>
  <c r="U77" i="10" s="1"/>
  <c r="AK19" i="20" l="1"/>
  <c r="L68" i="1" s="1"/>
  <c r="L64" i="1"/>
  <c r="G82" i="24"/>
  <c r="G83" i="24" s="1"/>
  <c r="J49" i="25"/>
  <c r="J52" i="25" s="1"/>
  <c r="C82" i="24"/>
  <c r="C83" i="24" s="1"/>
  <c r="U82" i="24"/>
  <c r="U83" i="24" s="1"/>
  <c r="E82" i="24"/>
  <c r="E83" i="24" s="1"/>
  <c r="J48" i="25"/>
  <c r="J51" i="25" s="1"/>
  <c r="E57" i="25" s="1"/>
  <c r="F82" i="24"/>
  <c r="F83" i="24" s="1"/>
  <c r="J82" i="24"/>
  <c r="J83" i="24" s="1"/>
  <c r="Q82" i="24"/>
  <c r="Q83" i="24" s="1"/>
  <c r="K82" i="24"/>
  <c r="K83" i="24" s="1"/>
  <c r="B82" i="24"/>
  <c r="B83" i="24" s="1"/>
  <c r="H82" i="24"/>
  <c r="H83" i="24" s="1"/>
  <c r="O82" i="24"/>
  <c r="O83" i="24" s="1"/>
  <c r="S82" i="24"/>
  <c r="S83" i="24" s="1"/>
  <c r="E66" i="24"/>
  <c r="R82" i="24"/>
  <c r="R83" i="24" s="1"/>
  <c r="M82" i="24"/>
  <c r="M83" i="24" s="1"/>
  <c r="I82" i="24"/>
  <c r="I83" i="24" s="1"/>
  <c r="P82" i="24"/>
  <c r="P83" i="24" s="1"/>
  <c r="V82" i="24"/>
  <c r="V83" i="24" s="1"/>
  <c r="N82" i="24"/>
  <c r="N83" i="24" s="1"/>
  <c r="L82" i="24"/>
  <c r="L83" i="24" s="1"/>
  <c r="D82" i="24"/>
  <c r="D83" i="24" s="1"/>
  <c r="T82" i="24"/>
  <c r="T83" i="24" s="1"/>
  <c r="E57" i="24"/>
  <c r="E53" i="24"/>
  <c r="I19" i="20" s="1"/>
  <c r="E54" i="24"/>
  <c r="J19" i="20" s="1"/>
  <c r="I46" i="16"/>
  <c r="F62" i="15"/>
  <c r="F62" i="16"/>
  <c r="J46" i="17"/>
  <c r="G76" i="16"/>
  <c r="G78" i="16" s="1"/>
  <c r="I46" i="15"/>
  <c r="J46" i="16"/>
  <c r="F62" i="17"/>
  <c r="I46" i="17"/>
  <c r="J46" i="15"/>
  <c r="I46" i="10"/>
  <c r="D77" i="17"/>
  <c r="O76" i="16"/>
  <c r="O78" i="16" s="1"/>
  <c r="T77" i="17"/>
  <c r="G76" i="17"/>
  <c r="G78" i="17" s="1"/>
  <c r="Q76" i="16"/>
  <c r="Q78" i="16" s="1"/>
  <c r="O76" i="17"/>
  <c r="O78" i="17" s="1"/>
  <c r="L76" i="17"/>
  <c r="L78" i="17" s="1"/>
  <c r="P76" i="15"/>
  <c r="P78" i="15" s="1"/>
  <c r="P76" i="17"/>
  <c r="P78" i="17" s="1"/>
  <c r="E76" i="15"/>
  <c r="E78" i="15" s="1"/>
  <c r="F76" i="17"/>
  <c r="F78" i="17" s="1"/>
  <c r="H76" i="17"/>
  <c r="H78" i="17" s="1"/>
  <c r="I76" i="17"/>
  <c r="I78" i="17" s="1"/>
  <c r="I76" i="16"/>
  <c r="I78" i="16" s="1"/>
  <c r="Q76" i="17"/>
  <c r="Q78" i="17" s="1"/>
  <c r="S77" i="17"/>
  <c r="S76" i="17"/>
  <c r="S78" i="17" s="1"/>
  <c r="B77" i="17"/>
  <c r="B76" i="17"/>
  <c r="B78" i="17" s="1"/>
  <c r="K77" i="17"/>
  <c r="K76" i="17"/>
  <c r="K78" i="17" s="1"/>
  <c r="J46" i="13"/>
  <c r="E76" i="16"/>
  <c r="E78" i="16" s="1"/>
  <c r="C77" i="17"/>
  <c r="C76" i="17"/>
  <c r="C78" i="17" s="1"/>
  <c r="I46" i="12"/>
  <c r="U76" i="17"/>
  <c r="U78" i="17" s="1"/>
  <c r="J77" i="17"/>
  <c r="J76" i="17"/>
  <c r="J78" i="17" s="1"/>
  <c r="N76" i="16"/>
  <c r="N78" i="16" s="1"/>
  <c r="M76" i="17"/>
  <c r="M78" i="17" s="1"/>
  <c r="F76" i="16"/>
  <c r="F78" i="16" s="1"/>
  <c r="V76" i="17"/>
  <c r="V78" i="17" s="1"/>
  <c r="E76" i="17"/>
  <c r="E78" i="17" s="1"/>
  <c r="H76" i="16"/>
  <c r="H78" i="16" s="1"/>
  <c r="N76" i="17"/>
  <c r="N78" i="17" s="1"/>
  <c r="R77" i="17"/>
  <c r="R76" i="17"/>
  <c r="R78" i="17" s="1"/>
  <c r="R77" i="16"/>
  <c r="R76" i="16"/>
  <c r="R78" i="16" s="1"/>
  <c r="S77" i="16"/>
  <c r="S76" i="16"/>
  <c r="S78" i="16" s="1"/>
  <c r="F76" i="13"/>
  <c r="F78" i="13" s="1"/>
  <c r="Q76" i="13"/>
  <c r="Q78" i="13" s="1"/>
  <c r="K76" i="16"/>
  <c r="K78" i="16" s="1"/>
  <c r="K77" i="16"/>
  <c r="B77" i="16"/>
  <c r="B76" i="16"/>
  <c r="B78" i="16" s="1"/>
  <c r="R76" i="15"/>
  <c r="R78" i="15" s="1"/>
  <c r="C77" i="16"/>
  <c r="C76" i="16"/>
  <c r="C78" i="16" s="1"/>
  <c r="T77" i="16"/>
  <c r="T76" i="16"/>
  <c r="T78" i="16" s="1"/>
  <c r="L77" i="16"/>
  <c r="L76" i="16"/>
  <c r="L78" i="16" s="1"/>
  <c r="F62" i="13"/>
  <c r="D77" i="16"/>
  <c r="D76" i="16"/>
  <c r="D78" i="16" s="1"/>
  <c r="U76" i="16"/>
  <c r="U78" i="16" s="1"/>
  <c r="J77" i="16"/>
  <c r="J76" i="16"/>
  <c r="J78" i="16" s="1"/>
  <c r="V76" i="16"/>
  <c r="V78" i="16" s="1"/>
  <c r="M76" i="16"/>
  <c r="M78" i="16" s="1"/>
  <c r="U76" i="15"/>
  <c r="U78" i="15" s="1"/>
  <c r="V76" i="13"/>
  <c r="V78" i="13" s="1"/>
  <c r="K76" i="15"/>
  <c r="K78" i="15" s="1"/>
  <c r="O76" i="13"/>
  <c r="O78" i="13" s="1"/>
  <c r="N76" i="15"/>
  <c r="N78" i="15" s="1"/>
  <c r="H76" i="15"/>
  <c r="H78" i="15" s="1"/>
  <c r="O76" i="15"/>
  <c r="O78" i="15" s="1"/>
  <c r="C76" i="15"/>
  <c r="C78" i="15" s="1"/>
  <c r="T76" i="15"/>
  <c r="T78" i="15" s="1"/>
  <c r="G76" i="15"/>
  <c r="G78" i="15" s="1"/>
  <c r="M76" i="15"/>
  <c r="M78" i="15" s="1"/>
  <c r="B76" i="15"/>
  <c r="B78" i="15" s="1"/>
  <c r="I76" i="12"/>
  <c r="I78" i="12" s="1"/>
  <c r="S77" i="15"/>
  <c r="S76" i="15"/>
  <c r="S78" i="15" s="1"/>
  <c r="I76" i="13"/>
  <c r="I78" i="13" s="1"/>
  <c r="P76" i="13"/>
  <c r="P78" i="13" s="1"/>
  <c r="D76" i="15"/>
  <c r="D78" i="15" s="1"/>
  <c r="F76" i="12"/>
  <c r="F78" i="12" s="1"/>
  <c r="N76" i="10"/>
  <c r="N78" i="10" s="1"/>
  <c r="F76" i="15"/>
  <c r="F78" i="15" s="1"/>
  <c r="I76" i="15"/>
  <c r="I78" i="15" s="1"/>
  <c r="F62" i="12"/>
  <c r="J76" i="15"/>
  <c r="J78" i="15" s="1"/>
  <c r="V76" i="15"/>
  <c r="V78" i="15" s="1"/>
  <c r="L76" i="15"/>
  <c r="L78" i="15" s="1"/>
  <c r="S76" i="13"/>
  <c r="S78" i="13" s="1"/>
  <c r="S77" i="13"/>
  <c r="R76" i="13"/>
  <c r="R78" i="13" s="1"/>
  <c r="J46" i="10"/>
  <c r="I76" i="11"/>
  <c r="I78" i="11" s="1"/>
  <c r="H76" i="11"/>
  <c r="H78" i="11" s="1"/>
  <c r="M76" i="13"/>
  <c r="M78" i="13" s="1"/>
  <c r="F62" i="11"/>
  <c r="U76" i="13"/>
  <c r="U78" i="13" s="1"/>
  <c r="E76" i="13"/>
  <c r="E78" i="13" s="1"/>
  <c r="P76" i="12"/>
  <c r="P78" i="12" s="1"/>
  <c r="G76" i="13"/>
  <c r="G78" i="13" s="1"/>
  <c r="J76" i="13"/>
  <c r="J78" i="13" s="1"/>
  <c r="N76" i="13"/>
  <c r="N78" i="13" s="1"/>
  <c r="L77" i="13"/>
  <c r="L76" i="13"/>
  <c r="L78" i="13" s="1"/>
  <c r="K77" i="13"/>
  <c r="K76" i="13"/>
  <c r="K78" i="13" s="1"/>
  <c r="T77" i="13"/>
  <c r="T76" i="13"/>
  <c r="T78" i="13" s="1"/>
  <c r="F76" i="11"/>
  <c r="F78" i="11" s="1"/>
  <c r="P76" i="11"/>
  <c r="P78" i="11" s="1"/>
  <c r="H76" i="12"/>
  <c r="H78" i="12" s="1"/>
  <c r="D77" i="13"/>
  <c r="D76" i="13"/>
  <c r="D78" i="13" s="1"/>
  <c r="B76" i="13"/>
  <c r="B78" i="13" s="1"/>
  <c r="C77" i="13"/>
  <c r="C76" i="13"/>
  <c r="C78" i="13" s="1"/>
  <c r="B76" i="12"/>
  <c r="B78" i="12" s="1"/>
  <c r="U76" i="10"/>
  <c r="U78" i="10" s="1"/>
  <c r="N76" i="12"/>
  <c r="N78" i="12" s="1"/>
  <c r="Q76" i="11"/>
  <c r="Q78" i="11" s="1"/>
  <c r="K77" i="12"/>
  <c r="K76" i="12"/>
  <c r="K78" i="12" s="1"/>
  <c r="F62" i="10"/>
  <c r="N76" i="11"/>
  <c r="N78" i="11" s="1"/>
  <c r="O76" i="12"/>
  <c r="O78" i="12" s="1"/>
  <c r="U76" i="12"/>
  <c r="U78" i="12" s="1"/>
  <c r="M76" i="12"/>
  <c r="M78" i="12" s="1"/>
  <c r="G76" i="11"/>
  <c r="G78" i="11" s="1"/>
  <c r="M76" i="11"/>
  <c r="M78" i="11" s="1"/>
  <c r="E76" i="12"/>
  <c r="E78" i="12" s="1"/>
  <c r="G76" i="12"/>
  <c r="G78" i="12" s="1"/>
  <c r="E76" i="11"/>
  <c r="E78" i="11" s="1"/>
  <c r="L77" i="12"/>
  <c r="L76" i="12"/>
  <c r="L78" i="12" s="1"/>
  <c r="R76" i="12"/>
  <c r="R78" i="12" s="1"/>
  <c r="V76" i="12"/>
  <c r="V78" i="12" s="1"/>
  <c r="T77" i="12"/>
  <c r="T76" i="12"/>
  <c r="T78" i="12" s="1"/>
  <c r="C77" i="12"/>
  <c r="C76" i="12"/>
  <c r="C78" i="12" s="1"/>
  <c r="D77" i="12"/>
  <c r="D76" i="12"/>
  <c r="D78" i="12" s="1"/>
  <c r="V76" i="11"/>
  <c r="V78" i="11" s="1"/>
  <c r="J76" i="12"/>
  <c r="J78" i="12" s="1"/>
  <c r="S76" i="12"/>
  <c r="S78" i="12" s="1"/>
  <c r="S77" i="12"/>
  <c r="J46" i="11"/>
  <c r="I46" i="11"/>
  <c r="R77" i="11"/>
  <c r="R76" i="11"/>
  <c r="R78" i="11" s="1"/>
  <c r="D76" i="10"/>
  <c r="D78" i="10" s="1"/>
  <c r="P76" i="10"/>
  <c r="P78" i="10" s="1"/>
  <c r="S77" i="11"/>
  <c r="S76" i="11"/>
  <c r="S78" i="11" s="1"/>
  <c r="B77" i="11"/>
  <c r="B76" i="11"/>
  <c r="B78" i="11" s="1"/>
  <c r="J77" i="11"/>
  <c r="J76" i="11"/>
  <c r="J78" i="11" s="1"/>
  <c r="C77" i="11"/>
  <c r="C76" i="11"/>
  <c r="C78" i="11" s="1"/>
  <c r="D77" i="11"/>
  <c r="D76" i="11"/>
  <c r="D78" i="11" s="1"/>
  <c r="L77" i="11"/>
  <c r="L76" i="11"/>
  <c r="L78" i="11" s="1"/>
  <c r="G76" i="10"/>
  <c r="G78" i="10" s="1"/>
  <c r="H76" i="10"/>
  <c r="H78" i="10" s="1"/>
  <c r="K76" i="11"/>
  <c r="K78" i="11" s="1"/>
  <c r="K77" i="11"/>
  <c r="K76" i="10"/>
  <c r="K78" i="10" s="1"/>
  <c r="T77" i="11"/>
  <c r="T76" i="11"/>
  <c r="T78" i="11" s="1"/>
  <c r="U76" i="11"/>
  <c r="U78" i="11" s="1"/>
  <c r="F76" i="10"/>
  <c r="F78" i="10" s="1"/>
  <c r="S76" i="10"/>
  <c r="S78" i="10" s="1"/>
  <c r="O76" i="10"/>
  <c r="O78" i="10" s="1"/>
  <c r="C76" i="10"/>
  <c r="C78" i="10" s="1"/>
  <c r="B76" i="10"/>
  <c r="B78" i="10" s="1"/>
  <c r="B77" i="10"/>
  <c r="T76" i="10"/>
  <c r="T78" i="10" s="1"/>
  <c r="L76" i="10"/>
  <c r="L78" i="10" s="1"/>
  <c r="R76" i="10"/>
  <c r="R78" i="10" s="1"/>
  <c r="R77" i="10"/>
  <c r="E76" i="10"/>
  <c r="E78" i="10" s="1"/>
  <c r="Q77" i="10"/>
  <c r="Q76" i="10"/>
  <c r="Q78" i="10" s="1"/>
  <c r="M76" i="10"/>
  <c r="M78" i="10" s="1"/>
  <c r="J77" i="10"/>
  <c r="J76" i="10"/>
  <c r="J78" i="10" s="1"/>
  <c r="I76" i="10"/>
  <c r="I78" i="10" s="1"/>
  <c r="I77" i="10"/>
  <c r="E54" i="25" l="1"/>
  <c r="J18" i="20" s="1"/>
  <c r="E53" i="25"/>
  <c r="I18" i="20" s="1"/>
  <c r="E59" i="24"/>
  <c r="E60" i="24" s="1"/>
  <c r="G80" i="24"/>
  <c r="G81" i="24" s="1"/>
  <c r="O80" i="24"/>
  <c r="O81" i="24" s="1"/>
  <c r="T80" i="24"/>
  <c r="T81" i="24" s="1"/>
  <c r="Q80" i="24"/>
  <c r="Q81" i="24" s="1"/>
  <c r="M80" i="24"/>
  <c r="M81" i="24" s="1"/>
  <c r="D80" i="24"/>
  <c r="D81" i="24" s="1"/>
  <c r="P80" i="24"/>
  <c r="P81" i="24" s="1"/>
  <c r="L80" i="24"/>
  <c r="L81" i="24" s="1"/>
  <c r="I80" i="24"/>
  <c r="I81" i="24" s="1"/>
  <c r="H80" i="24"/>
  <c r="H81" i="24" s="1"/>
  <c r="S80" i="24"/>
  <c r="S81" i="24" s="1"/>
  <c r="K80" i="24"/>
  <c r="K81" i="24" s="1"/>
  <c r="C80" i="24"/>
  <c r="C81" i="24" s="1"/>
  <c r="R80" i="24"/>
  <c r="R81" i="24" s="1"/>
  <c r="B80" i="24"/>
  <c r="B81" i="24" s="1"/>
  <c r="F80" i="24"/>
  <c r="F81" i="24" s="1"/>
  <c r="V80" i="24"/>
  <c r="V81" i="24" s="1"/>
  <c r="J80" i="24"/>
  <c r="J81" i="24" s="1"/>
  <c r="U80" i="24"/>
  <c r="U81" i="24" s="1"/>
  <c r="N80" i="24"/>
  <c r="N81" i="24" s="1"/>
  <c r="E80" i="24"/>
  <c r="E81" i="24" s="1"/>
  <c r="E43" i="6"/>
  <c r="R80" i="25" l="1"/>
  <c r="R81" i="25" s="1"/>
  <c r="B80" i="25"/>
  <c r="B81" i="25" s="1"/>
  <c r="J80" i="25"/>
  <c r="J81" i="25" s="1"/>
  <c r="T80" i="25"/>
  <c r="T81" i="25" s="1"/>
  <c r="N80" i="25"/>
  <c r="N81" i="25" s="1"/>
  <c r="G80" i="25"/>
  <c r="G81" i="25" s="1"/>
  <c r="V80" i="25"/>
  <c r="V81" i="25" s="1"/>
  <c r="M80" i="25"/>
  <c r="M81" i="25" s="1"/>
  <c r="Q80" i="25"/>
  <c r="Q81" i="25" s="1"/>
  <c r="H80" i="25"/>
  <c r="H81" i="25" s="1"/>
  <c r="F80" i="25"/>
  <c r="F81" i="25" s="1"/>
  <c r="U80" i="25"/>
  <c r="U81" i="25" s="1"/>
  <c r="O80" i="25"/>
  <c r="O81" i="25" s="1"/>
  <c r="E80" i="25"/>
  <c r="E81" i="25" s="1"/>
  <c r="K80" i="25"/>
  <c r="K81" i="25" s="1"/>
  <c r="D80" i="25"/>
  <c r="D81" i="25" s="1"/>
  <c r="I80" i="25"/>
  <c r="I81" i="25" s="1"/>
  <c r="L80" i="25"/>
  <c r="L81" i="25" s="1"/>
  <c r="S80" i="25"/>
  <c r="S81" i="25" s="1"/>
  <c r="C80" i="25"/>
  <c r="C81" i="25" s="1"/>
  <c r="P80" i="25"/>
  <c r="P81" i="25" s="1"/>
  <c r="E59" i="25"/>
  <c r="E60" i="25" s="1"/>
  <c r="E20" i="6"/>
  <c r="E5" i="6"/>
  <c r="E29" i="6"/>
  <c r="E14" i="6"/>
  <c r="E30" i="6"/>
  <c r="E7" i="6"/>
  <c r="E15" i="6"/>
  <c r="E23" i="6"/>
  <c r="E31" i="6"/>
  <c r="E39" i="6"/>
  <c r="E8" i="6"/>
  <c r="E16" i="6"/>
  <c r="E24" i="6"/>
  <c r="E32" i="6"/>
  <c r="E40" i="6"/>
  <c r="E12" i="6"/>
  <c r="E28" i="6"/>
  <c r="E13" i="6"/>
  <c r="E37" i="6"/>
  <c r="E22" i="6"/>
  <c r="E9" i="6"/>
  <c r="E25" i="6"/>
  <c r="E41" i="6"/>
  <c r="E10" i="6"/>
  <c r="E18" i="6"/>
  <c r="E26" i="6"/>
  <c r="E34" i="6"/>
  <c r="E42" i="6"/>
  <c r="E36" i="6"/>
  <c r="E21" i="6"/>
  <c r="E6" i="6"/>
  <c r="E38" i="6"/>
  <c r="E17" i="6"/>
  <c r="E33" i="6"/>
  <c r="E11" i="6"/>
  <c r="E19" i="6"/>
  <c r="E27" i="6"/>
  <c r="E35" i="6"/>
  <c r="I53" i="4" l="1"/>
  <c r="I52" i="4"/>
  <c r="I51" i="4"/>
  <c r="V75" i="4" l="1"/>
  <c r="N75" i="4"/>
  <c r="F75" i="4"/>
  <c r="L75" i="4"/>
  <c r="L77" i="4" s="1"/>
  <c r="R75" i="4"/>
  <c r="H75" i="4"/>
  <c r="G75" i="4"/>
  <c r="U75" i="4"/>
  <c r="M75" i="4"/>
  <c r="M77" i="4" s="1"/>
  <c r="E75" i="4"/>
  <c r="T75" i="4"/>
  <c r="T77" i="4" s="1"/>
  <c r="D75" i="4"/>
  <c r="D77" i="4" s="1"/>
  <c r="J75" i="4"/>
  <c r="Q75" i="4"/>
  <c r="Q77" i="4" s="1"/>
  <c r="P75" i="4"/>
  <c r="S75" i="4"/>
  <c r="S77" i="4" s="1"/>
  <c r="K75" i="4"/>
  <c r="K77" i="4" s="1"/>
  <c r="C75" i="4"/>
  <c r="B75" i="4"/>
  <c r="B77" i="4" s="1"/>
  <c r="I75" i="4"/>
  <c r="I77" i="4" s="1"/>
  <c r="O75" i="4"/>
  <c r="E34" i="4"/>
  <c r="E20" i="18" l="1"/>
  <c r="E47" i="18" s="1"/>
  <c r="J47" i="18" s="1"/>
  <c r="E20" i="19"/>
  <c r="E47" i="19" s="1"/>
  <c r="E20" i="16"/>
  <c r="E63" i="16" s="1"/>
  <c r="E67" i="16" s="1"/>
  <c r="E66" i="16" s="1"/>
  <c r="E20" i="17"/>
  <c r="E20" i="13"/>
  <c r="E47" i="13" s="1"/>
  <c r="E20" i="15"/>
  <c r="E47" i="15" s="1"/>
  <c r="E20" i="11"/>
  <c r="E69" i="11" s="1"/>
  <c r="E20" i="12"/>
  <c r="E47" i="12" s="1"/>
  <c r="E20" i="4"/>
  <c r="E20" i="10"/>
  <c r="Q76" i="4"/>
  <c r="Q78" i="4" s="1"/>
  <c r="I76" i="4"/>
  <c r="I78" i="4" s="1"/>
  <c r="B76" i="4"/>
  <c r="B78" i="4" s="1"/>
  <c r="F76" i="4"/>
  <c r="F78" i="4" s="1"/>
  <c r="F77" i="4"/>
  <c r="T76" i="4"/>
  <c r="T78" i="4" s="1"/>
  <c r="N76" i="4"/>
  <c r="N78" i="4" s="1"/>
  <c r="N77" i="4"/>
  <c r="K76" i="4"/>
  <c r="K78" i="4" s="1"/>
  <c r="D76" i="4"/>
  <c r="D78" i="4" s="1"/>
  <c r="U76" i="4"/>
  <c r="U78" i="4" s="1"/>
  <c r="U77" i="4"/>
  <c r="V76" i="4"/>
  <c r="V78" i="4" s="1"/>
  <c r="V77" i="4"/>
  <c r="P76" i="4"/>
  <c r="P78" i="4" s="1"/>
  <c r="P77" i="4"/>
  <c r="G76" i="4"/>
  <c r="G78" i="4" s="1"/>
  <c r="G77" i="4"/>
  <c r="M76" i="4"/>
  <c r="M78" i="4" s="1"/>
  <c r="C77" i="4"/>
  <c r="C76" i="4"/>
  <c r="C78" i="4" s="1"/>
  <c r="R77" i="4"/>
  <c r="R76" i="4"/>
  <c r="R78" i="4" s="1"/>
  <c r="O76" i="4"/>
  <c r="O78" i="4" s="1"/>
  <c r="O77" i="4"/>
  <c r="H76" i="4"/>
  <c r="H78" i="4" s="1"/>
  <c r="H77" i="4"/>
  <c r="E77" i="4"/>
  <c r="E76" i="4"/>
  <c r="E78" i="4" s="1"/>
  <c r="S76" i="4"/>
  <c r="S78" i="4" s="1"/>
  <c r="J77" i="4"/>
  <c r="J76" i="4"/>
  <c r="J78" i="4" s="1"/>
  <c r="L76" i="4"/>
  <c r="L78" i="4" s="1"/>
  <c r="E47" i="10" l="1"/>
  <c r="J47" i="10" s="1"/>
  <c r="E55" i="4"/>
  <c r="AC6" i="20" s="1"/>
  <c r="AD6" i="20" s="1"/>
  <c r="Q55" i="1" s="1"/>
  <c r="V79" i="18"/>
  <c r="S79" i="18"/>
  <c r="T79" i="18"/>
  <c r="C79" i="18"/>
  <c r="L79" i="18"/>
  <c r="K79" i="18"/>
  <c r="F79" i="18"/>
  <c r="E63" i="18"/>
  <c r="E67" i="18" s="1"/>
  <c r="E66" i="18" s="1"/>
  <c r="N79" i="18"/>
  <c r="U79" i="18"/>
  <c r="E58" i="18"/>
  <c r="B79" i="18"/>
  <c r="H79" i="18"/>
  <c r="E69" i="18"/>
  <c r="R79" i="18"/>
  <c r="P79" i="18"/>
  <c r="I47" i="18"/>
  <c r="J79" i="18"/>
  <c r="G79" i="18"/>
  <c r="I47" i="19"/>
  <c r="J47" i="19"/>
  <c r="O79" i="18"/>
  <c r="Q79" i="18"/>
  <c r="M79" i="18"/>
  <c r="E79" i="18"/>
  <c r="E55" i="18"/>
  <c r="E69" i="19"/>
  <c r="E58" i="19"/>
  <c r="E63" i="19"/>
  <c r="E67" i="19" s="1"/>
  <c r="E66" i="19" s="1"/>
  <c r="E55" i="19"/>
  <c r="E64" i="19"/>
  <c r="G79" i="19"/>
  <c r="Q79" i="19"/>
  <c r="I79" i="19"/>
  <c r="H79" i="19"/>
  <c r="P79" i="19"/>
  <c r="E79" i="19"/>
  <c r="V79" i="19"/>
  <c r="U79" i="19"/>
  <c r="F79" i="19"/>
  <c r="O79" i="19"/>
  <c r="B79" i="19"/>
  <c r="S79" i="19"/>
  <c r="D79" i="19"/>
  <c r="L79" i="19"/>
  <c r="C79" i="19"/>
  <c r="T79" i="19"/>
  <c r="N79" i="19"/>
  <c r="K79" i="19"/>
  <c r="R79" i="19"/>
  <c r="M79" i="19"/>
  <c r="J79" i="19"/>
  <c r="D79" i="18"/>
  <c r="I79" i="18"/>
  <c r="E64" i="18"/>
  <c r="J49" i="18"/>
  <c r="J52" i="18" s="1"/>
  <c r="J48" i="18"/>
  <c r="J51" i="18" s="1"/>
  <c r="J50" i="18"/>
  <c r="J53" i="18" s="1"/>
  <c r="I47" i="13"/>
  <c r="S79" i="16"/>
  <c r="V79" i="16"/>
  <c r="L79" i="16"/>
  <c r="E79" i="16"/>
  <c r="P79" i="16"/>
  <c r="E47" i="16"/>
  <c r="I47" i="16" s="1"/>
  <c r="M79" i="16"/>
  <c r="D79" i="16"/>
  <c r="F79" i="16"/>
  <c r="C79" i="16"/>
  <c r="E64" i="16"/>
  <c r="K79" i="16"/>
  <c r="E58" i="16"/>
  <c r="U79" i="13"/>
  <c r="C79" i="13"/>
  <c r="E55" i="16"/>
  <c r="E63" i="13"/>
  <c r="E67" i="13" s="1"/>
  <c r="Q82" i="13" s="1"/>
  <c r="E64" i="13"/>
  <c r="E55" i="13"/>
  <c r="AC7" i="20" s="1"/>
  <c r="AD7" i="20" s="1"/>
  <c r="Q56" i="1" s="1"/>
  <c r="L79" i="13"/>
  <c r="T79" i="13"/>
  <c r="F79" i="13"/>
  <c r="E58" i="13"/>
  <c r="R79" i="16"/>
  <c r="O79" i="16"/>
  <c r="E69" i="16"/>
  <c r="K79" i="13"/>
  <c r="B79" i="13"/>
  <c r="R79" i="13"/>
  <c r="E69" i="13"/>
  <c r="B79" i="16"/>
  <c r="H79" i="16"/>
  <c r="G79" i="16"/>
  <c r="E69" i="17"/>
  <c r="E58" i="17"/>
  <c r="E64" i="17"/>
  <c r="E63" i="17"/>
  <c r="E67" i="17" s="1"/>
  <c r="E66" i="17" s="1"/>
  <c r="E55" i="17"/>
  <c r="AC13" i="20" s="1"/>
  <c r="AD13" i="20" s="1"/>
  <c r="Q62" i="1" s="1"/>
  <c r="O79" i="17"/>
  <c r="P79" i="17"/>
  <c r="Q79" i="17"/>
  <c r="H79" i="17"/>
  <c r="M79" i="17"/>
  <c r="N79" i="17"/>
  <c r="L79" i="17"/>
  <c r="I79" i="17"/>
  <c r="G79" i="17"/>
  <c r="F79" i="17"/>
  <c r="T79" i="17"/>
  <c r="D79" i="17"/>
  <c r="U79" i="17"/>
  <c r="V79" i="17"/>
  <c r="E79" i="17"/>
  <c r="S79" i="17"/>
  <c r="B79" i="17"/>
  <c r="R79" i="17"/>
  <c r="C79" i="17"/>
  <c r="J79" i="17"/>
  <c r="K79" i="17"/>
  <c r="G79" i="13"/>
  <c r="V79" i="13"/>
  <c r="N79" i="13"/>
  <c r="J47" i="13"/>
  <c r="J49" i="13" s="1"/>
  <c r="J52" i="13" s="1"/>
  <c r="I79" i="16"/>
  <c r="M79" i="13"/>
  <c r="H79" i="13"/>
  <c r="Q79" i="13"/>
  <c r="T79" i="16"/>
  <c r="N79" i="16"/>
  <c r="Q79" i="16"/>
  <c r="E47" i="17"/>
  <c r="J79" i="13"/>
  <c r="D79" i="13"/>
  <c r="S79" i="13"/>
  <c r="P79" i="13"/>
  <c r="E79" i="13"/>
  <c r="O79" i="13"/>
  <c r="I79" i="13"/>
  <c r="J79" i="16"/>
  <c r="U79" i="16"/>
  <c r="J79" i="11"/>
  <c r="E70" i="16"/>
  <c r="Q82" i="16"/>
  <c r="E82" i="16"/>
  <c r="E83" i="16" s="1"/>
  <c r="F82" i="16"/>
  <c r="P82" i="16"/>
  <c r="O82" i="16"/>
  <c r="H82" i="16"/>
  <c r="I82" i="16"/>
  <c r="G82" i="16"/>
  <c r="N82" i="16"/>
  <c r="C82" i="16"/>
  <c r="D82" i="16"/>
  <c r="U82" i="16"/>
  <c r="T82" i="16"/>
  <c r="L82" i="16"/>
  <c r="J82" i="16"/>
  <c r="K82" i="16"/>
  <c r="V82" i="16"/>
  <c r="M82" i="16"/>
  <c r="R82" i="16"/>
  <c r="B82" i="16"/>
  <c r="S82" i="16"/>
  <c r="V79" i="11"/>
  <c r="G79" i="11"/>
  <c r="Q79" i="11"/>
  <c r="D79" i="11"/>
  <c r="O79" i="11"/>
  <c r="M79" i="11"/>
  <c r="J47" i="15"/>
  <c r="I47" i="15"/>
  <c r="E69" i="15"/>
  <c r="E58" i="15"/>
  <c r="E64" i="15"/>
  <c r="E55" i="15"/>
  <c r="AC9" i="20" s="1"/>
  <c r="AD9" i="20" s="1"/>
  <c r="Q58" i="1" s="1"/>
  <c r="E63" i="15"/>
  <c r="E67" i="15" s="1"/>
  <c r="E66" i="15" s="1"/>
  <c r="Q79" i="15"/>
  <c r="N79" i="15"/>
  <c r="U79" i="15"/>
  <c r="O79" i="15"/>
  <c r="R79" i="15"/>
  <c r="G79" i="15"/>
  <c r="P79" i="15"/>
  <c r="E79" i="15"/>
  <c r="K79" i="15"/>
  <c r="I79" i="15"/>
  <c r="D79" i="15"/>
  <c r="S79" i="15"/>
  <c r="M79" i="15"/>
  <c r="F79" i="15"/>
  <c r="L79" i="15"/>
  <c r="T79" i="15"/>
  <c r="B79" i="15"/>
  <c r="V79" i="15"/>
  <c r="C79" i="15"/>
  <c r="J79" i="15"/>
  <c r="H79" i="15"/>
  <c r="T79" i="11"/>
  <c r="E79" i="11"/>
  <c r="L79" i="11"/>
  <c r="N79" i="11"/>
  <c r="E63" i="11"/>
  <c r="E67" i="11" s="1"/>
  <c r="E66" i="11" s="1"/>
  <c r="B79" i="11"/>
  <c r="H79" i="11"/>
  <c r="E64" i="11"/>
  <c r="T79" i="4"/>
  <c r="E47" i="11"/>
  <c r="J47" i="11" s="1"/>
  <c r="R79" i="11"/>
  <c r="I79" i="11"/>
  <c r="E55" i="11"/>
  <c r="AC10" i="20" s="1"/>
  <c r="AD10" i="20" s="1"/>
  <c r="Q59" i="1" s="1"/>
  <c r="K79" i="11"/>
  <c r="C79" i="11"/>
  <c r="F79" i="11"/>
  <c r="E58" i="11"/>
  <c r="S79" i="11"/>
  <c r="U79" i="11"/>
  <c r="P79" i="11"/>
  <c r="B79" i="4"/>
  <c r="E69" i="4"/>
  <c r="D79" i="4"/>
  <c r="I79" i="4"/>
  <c r="J47" i="12"/>
  <c r="I47" i="12"/>
  <c r="L79" i="4"/>
  <c r="M79" i="4"/>
  <c r="Q79" i="4"/>
  <c r="E47" i="4"/>
  <c r="E69" i="12"/>
  <c r="E58" i="12"/>
  <c r="E55" i="12"/>
  <c r="AC12" i="20" s="1"/>
  <c r="AD12" i="20" s="1"/>
  <c r="Q61" i="1" s="1"/>
  <c r="E64" i="12"/>
  <c r="E63" i="12"/>
  <c r="E67" i="12" s="1"/>
  <c r="E66" i="12" s="1"/>
  <c r="Q79" i="12"/>
  <c r="H79" i="12"/>
  <c r="P79" i="12"/>
  <c r="M79" i="12"/>
  <c r="B79" i="12"/>
  <c r="V79" i="12"/>
  <c r="N79" i="12"/>
  <c r="F79" i="12"/>
  <c r="J79" i="12"/>
  <c r="E79" i="12"/>
  <c r="I79" i="12"/>
  <c r="O79" i="12"/>
  <c r="K79" i="12"/>
  <c r="C79" i="12"/>
  <c r="R79" i="12"/>
  <c r="D79" i="12"/>
  <c r="L79" i="12"/>
  <c r="S79" i="12"/>
  <c r="T79" i="12"/>
  <c r="G79" i="12"/>
  <c r="U79" i="12"/>
  <c r="E58" i="4"/>
  <c r="E64" i="4"/>
  <c r="K79" i="4"/>
  <c r="E64" i="10"/>
  <c r="E63" i="10"/>
  <c r="E67" i="10" s="1"/>
  <c r="E66" i="10" s="1"/>
  <c r="E55" i="10"/>
  <c r="AC8" i="20" s="1"/>
  <c r="AD8" i="20" s="1"/>
  <c r="Q57" i="1" s="1"/>
  <c r="E58" i="10"/>
  <c r="E69" i="10"/>
  <c r="P79" i="10"/>
  <c r="V79" i="10"/>
  <c r="N79" i="10"/>
  <c r="C79" i="10"/>
  <c r="H79" i="10"/>
  <c r="G79" i="10"/>
  <c r="S79" i="10"/>
  <c r="D79" i="10"/>
  <c r="M79" i="10"/>
  <c r="F79" i="10"/>
  <c r="E79" i="10"/>
  <c r="K79" i="10"/>
  <c r="O79" i="10"/>
  <c r="U79" i="10"/>
  <c r="T79" i="10"/>
  <c r="J79" i="10"/>
  <c r="B79" i="10"/>
  <c r="R79" i="10"/>
  <c r="Q79" i="10"/>
  <c r="I79" i="10"/>
  <c r="L79" i="10"/>
  <c r="G79" i="4"/>
  <c r="H79" i="4"/>
  <c r="F79" i="4"/>
  <c r="P79" i="4"/>
  <c r="J79" i="4"/>
  <c r="V79" i="4"/>
  <c r="N79" i="4"/>
  <c r="R79" i="4"/>
  <c r="C79" i="4"/>
  <c r="U79" i="4"/>
  <c r="E44" i="4"/>
  <c r="S79" i="4"/>
  <c r="E79" i="4"/>
  <c r="O79" i="4"/>
  <c r="AC15" i="20" l="1"/>
  <c r="AD15" i="20" s="1"/>
  <c r="AC19" i="20"/>
  <c r="AC14" i="20"/>
  <c r="AD14" i="20" s="1"/>
  <c r="AC18" i="20"/>
  <c r="AE15" i="20"/>
  <c r="AF15" i="20" s="1"/>
  <c r="AE19" i="20"/>
  <c r="AE14" i="20"/>
  <c r="AF14" i="20" s="1"/>
  <c r="AE18" i="20"/>
  <c r="I47" i="10"/>
  <c r="I54" i="18"/>
  <c r="E51" i="11"/>
  <c r="G10" i="20" s="1"/>
  <c r="I54" i="13"/>
  <c r="E22" i="15"/>
  <c r="I54" i="16"/>
  <c r="AE8" i="20"/>
  <c r="AE6" i="20"/>
  <c r="AE10" i="20"/>
  <c r="AE11" i="20"/>
  <c r="AE13" i="20"/>
  <c r="AE12" i="20"/>
  <c r="AE9" i="20"/>
  <c r="AC11" i="20"/>
  <c r="AD11" i="20" s="1"/>
  <c r="Q60" i="1" s="1"/>
  <c r="AE7" i="20"/>
  <c r="B82" i="18"/>
  <c r="B83" i="18" s="1"/>
  <c r="U82" i="18"/>
  <c r="U83" i="18" s="1"/>
  <c r="K82" i="18"/>
  <c r="K83" i="18" s="1"/>
  <c r="T82" i="18"/>
  <c r="T83" i="18" s="1"/>
  <c r="P82" i="18"/>
  <c r="P83" i="18" s="1"/>
  <c r="E82" i="18"/>
  <c r="E83" i="18" s="1"/>
  <c r="E70" i="18"/>
  <c r="E71" i="18" s="1"/>
  <c r="E72" i="18" s="1"/>
  <c r="L82" i="18"/>
  <c r="L83" i="18" s="1"/>
  <c r="C82" i="18"/>
  <c r="C83" i="18" s="1"/>
  <c r="I82" i="18"/>
  <c r="I83" i="18" s="1"/>
  <c r="J82" i="18"/>
  <c r="J83" i="18" s="1"/>
  <c r="S82" i="18"/>
  <c r="S83" i="18" s="1"/>
  <c r="D82" i="18"/>
  <c r="D83" i="18" s="1"/>
  <c r="O82" i="18"/>
  <c r="O83" i="18" s="1"/>
  <c r="F82" i="18"/>
  <c r="F83" i="18" s="1"/>
  <c r="G82" i="18"/>
  <c r="G83" i="18" s="1"/>
  <c r="R82" i="18"/>
  <c r="R83" i="18" s="1"/>
  <c r="M82" i="18"/>
  <c r="M83" i="18" s="1"/>
  <c r="H82" i="18"/>
  <c r="H83" i="18" s="1"/>
  <c r="V82" i="18"/>
  <c r="V83" i="18" s="1"/>
  <c r="N82" i="18"/>
  <c r="N83" i="18" s="1"/>
  <c r="Q82" i="18"/>
  <c r="Q83" i="18" s="1"/>
  <c r="E70" i="19"/>
  <c r="E71" i="19" s="1"/>
  <c r="E72" i="19" s="1"/>
  <c r="Q82" i="19"/>
  <c r="Q83" i="19" s="1"/>
  <c r="G82" i="19"/>
  <c r="G83" i="19" s="1"/>
  <c r="H82" i="19"/>
  <c r="H83" i="19" s="1"/>
  <c r="P82" i="19"/>
  <c r="P83" i="19" s="1"/>
  <c r="E82" i="19"/>
  <c r="E83" i="19" s="1"/>
  <c r="V82" i="19"/>
  <c r="V83" i="19" s="1"/>
  <c r="F82" i="19"/>
  <c r="F83" i="19" s="1"/>
  <c r="O82" i="19"/>
  <c r="O83" i="19" s="1"/>
  <c r="I82" i="19"/>
  <c r="I83" i="19" s="1"/>
  <c r="B82" i="19"/>
  <c r="B83" i="19" s="1"/>
  <c r="M82" i="19"/>
  <c r="M83" i="19" s="1"/>
  <c r="D82" i="19"/>
  <c r="D83" i="19" s="1"/>
  <c r="S82" i="19"/>
  <c r="S83" i="19" s="1"/>
  <c r="C82" i="19"/>
  <c r="C83" i="19" s="1"/>
  <c r="L82" i="19"/>
  <c r="L83" i="19" s="1"/>
  <c r="J82" i="19"/>
  <c r="J83" i="19" s="1"/>
  <c r="R82" i="19"/>
  <c r="R83" i="19" s="1"/>
  <c r="K82" i="19"/>
  <c r="K83" i="19" s="1"/>
  <c r="T82" i="19"/>
  <c r="T83" i="19" s="1"/>
  <c r="U82" i="19"/>
  <c r="U83" i="19" s="1"/>
  <c r="N82" i="19"/>
  <c r="N83" i="19" s="1"/>
  <c r="J49" i="19"/>
  <c r="J52" i="19" s="1"/>
  <c r="J50" i="19"/>
  <c r="J53" i="19" s="1"/>
  <c r="J48" i="19"/>
  <c r="J51" i="19" s="1"/>
  <c r="S83" i="16"/>
  <c r="V83" i="16"/>
  <c r="P83" i="16"/>
  <c r="K83" i="16"/>
  <c r="U83" i="16"/>
  <c r="L83" i="16"/>
  <c r="J47" i="16"/>
  <c r="J49" i="16" s="1"/>
  <c r="J52" i="16" s="1"/>
  <c r="E48" i="4"/>
  <c r="C6" i="20" s="1"/>
  <c r="M83" i="16"/>
  <c r="D83" i="16"/>
  <c r="F83" i="16"/>
  <c r="C83" i="16"/>
  <c r="E66" i="13"/>
  <c r="S82" i="13"/>
  <c r="S83" i="13" s="1"/>
  <c r="H82" i="13"/>
  <c r="H83" i="13" s="1"/>
  <c r="E82" i="13"/>
  <c r="E83" i="13" s="1"/>
  <c r="K82" i="13"/>
  <c r="K83" i="13" s="1"/>
  <c r="G82" i="13"/>
  <c r="G83" i="13" s="1"/>
  <c r="P82" i="13"/>
  <c r="P83" i="13" s="1"/>
  <c r="L82" i="13"/>
  <c r="L83" i="13" s="1"/>
  <c r="N82" i="13"/>
  <c r="N83" i="13" s="1"/>
  <c r="E70" i="13"/>
  <c r="E71" i="13" s="1"/>
  <c r="E72" i="13" s="1"/>
  <c r="V82" i="13"/>
  <c r="V83" i="13" s="1"/>
  <c r="J82" i="13"/>
  <c r="J83" i="13" s="1"/>
  <c r="F82" i="13"/>
  <c r="F83" i="13" s="1"/>
  <c r="B82" i="13"/>
  <c r="B83" i="13" s="1"/>
  <c r="E71" i="16"/>
  <c r="E72" i="16" s="1"/>
  <c r="D82" i="13"/>
  <c r="D83" i="13" s="1"/>
  <c r="U82" i="13"/>
  <c r="U83" i="13" s="1"/>
  <c r="I82" i="13"/>
  <c r="I83" i="13" s="1"/>
  <c r="R82" i="13"/>
  <c r="R83" i="13" s="1"/>
  <c r="M82" i="13"/>
  <c r="M83" i="13" s="1"/>
  <c r="O82" i="13"/>
  <c r="O83" i="13" s="1"/>
  <c r="C82" i="13"/>
  <c r="C83" i="13" s="1"/>
  <c r="T82" i="13"/>
  <c r="T83" i="13" s="1"/>
  <c r="J50" i="13"/>
  <c r="J53" i="13" s="1"/>
  <c r="Q83" i="16"/>
  <c r="J48" i="13"/>
  <c r="J51" i="13" s="1"/>
  <c r="T83" i="16"/>
  <c r="J83" i="16"/>
  <c r="H83" i="16"/>
  <c r="I83" i="16"/>
  <c r="B83" i="16"/>
  <c r="E70" i="17"/>
  <c r="E71" i="17" s="1"/>
  <c r="E72" i="17" s="1"/>
  <c r="Q82" i="17"/>
  <c r="Q83" i="17" s="1"/>
  <c r="H82" i="17"/>
  <c r="H83" i="17" s="1"/>
  <c r="F82" i="17"/>
  <c r="F83" i="17" s="1"/>
  <c r="I82" i="17"/>
  <c r="I83" i="17" s="1"/>
  <c r="D82" i="17"/>
  <c r="D83" i="17" s="1"/>
  <c r="L82" i="17"/>
  <c r="L83" i="17" s="1"/>
  <c r="O82" i="17"/>
  <c r="O83" i="17" s="1"/>
  <c r="G82" i="17"/>
  <c r="G83" i="17" s="1"/>
  <c r="P82" i="17"/>
  <c r="P83" i="17" s="1"/>
  <c r="T82" i="17"/>
  <c r="T83" i="17" s="1"/>
  <c r="B82" i="17"/>
  <c r="B83" i="17" s="1"/>
  <c r="E82" i="17"/>
  <c r="E83" i="17" s="1"/>
  <c r="J82" i="17"/>
  <c r="J83" i="17" s="1"/>
  <c r="C82" i="17"/>
  <c r="C83" i="17" s="1"/>
  <c r="U82" i="17"/>
  <c r="U83" i="17" s="1"/>
  <c r="V82" i="17"/>
  <c r="V83" i="17" s="1"/>
  <c r="K82" i="17"/>
  <c r="K83" i="17" s="1"/>
  <c r="S82" i="17"/>
  <c r="S83" i="17" s="1"/>
  <c r="N82" i="17"/>
  <c r="N83" i="17" s="1"/>
  <c r="M82" i="17"/>
  <c r="M83" i="17" s="1"/>
  <c r="R82" i="17"/>
  <c r="R83" i="17" s="1"/>
  <c r="R83" i="16"/>
  <c r="Q83" i="13"/>
  <c r="N83" i="16"/>
  <c r="J47" i="17"/>
  <c r="I47" i="17"/>
  <c r="O83" i="16"/>
  <c r="G83" i="16"/>
  <c r="B82" i="11"/>
  <c r="B83" i="11" s="1"/>
  <c r="E70" i="15"/>
  <c r="E71" i="15" s="1"/>
  <c r="E72" i="15" s="1"/>
  <c r="U82" i="15"/>
  <c r="U83" i="15" s="1"/>
  <c r="E82" i="15"/>
  <c r="E83" i="15" s="1"/>
  <c r="Q82" i="15"/>
  <c r="Q83" i="15" s="1"/>
  <c r="P82" i="15"/>
  <c r="P83" i="15" s="1"/>
  <c r="K82" i="15"/>
  <c r="K83" i="15" s="1"/>
  <c r="R82" i="15"/>
  <c r="R83" i="15" s="1"/>
  <c r="N82" i="15"/>
  <c r="N83" i="15" s="1"/>
  <c r="F82" i="15"/>
  <c r="F83" i="15" s="1"/>
  <c r="H82" i="15"/>
  <c r="H83" i="15" s="1"/>
  <c r="T82" i="15"/>
  <c r="T83" i="15" s="1"/>
  <c r="G82" i="15"/>
  <c r="G83" i="15" s="1"/>
  <c r="O82" i="15"/>
  <c r="O83" i="15" s="1"/>
  <c r="I82" i="15"/>
  <c r="I83" i="15" s="1"/>
  <c r="S82" i="15"/>
  <c r="S83" i="15" s="1"/>
  <c r="J82" i="15"/>
  <c r="J83" i="15" s="1"/>
  <c r="M82" i="15"/>
  <c r="M83" i="15" s="1"/>
  <c r="D82" i="15"/>
  <c r="D83" i="15" s="1"/>
  <c r="C82" i="15"/>
  <c r="C83" i="15" s="1"/>
  <c r="B82" i="15"/>
  <c r="B83" i="15" s="1"/>
  <c r="V82" i="15"/>
  <c r="V83" i="15" s="1"/>
  <c r="L82" i="15"/>
  <c r="L83" i="15" s="1"/>
  <c r="J49" i="15"/>
  <c r="J52" i="15" s="1"/>
  <c r="J48" i="15"/>
  <c r="J51" i="15" s="1"/>
  <c r="J50" i="15"/>
  <c r="J53" i="15" s="1"/>
  <c r="O82" i="11"/>
  <c r="O83" i="11" s="1"/>
  <c r="I47" i="11"/>
  <c r="S82" i="11"/>
  <c r="S83" i="11" s="1"/>
  <c r="T82" i="11"/>
  <c r="T83" i="11" s="1"/>
  <c r="H82" i="11"/>
  <c r="H83" i="11" s="1"/>
  <c r="U82" i="11"/>
  <c r="U83" i="11" s="1"/>
  <c r="J82" i="11"/>
  <c r="J83" i="11" s="1"/>
  <c r="M82" i="11"/>
  <c r="M83" i="11" s="1"/>
  <c r="R82" i="11"/>
  <c r="R83" i="11" s="1"/>
  <c r="E82" i="11"/>
  <c r="E83" i="11" s="1"/>
  <c r="P82" i="11"/>
  <c r="P83" i="11" s="1"/>
  <c r="D82" i="11"/>
  <c r="D83" i="11" s="1"/>
  <c r="N82" i="11"/>
  <c r="N83" i="11" s="1"/>
  <c r="V82" i="11"/>
  <c r="V83" i="11" s="1"/>
  <c r="C82" i="11"/>
  <c r="C83" i="11" s="1"/>
  <c r="G82" i="11"/>
  <c r="G83" i="11" s="1"/>
  <c r="Q82" i="11"/>
  <c r="Q83" i="11" s="1"/>
  <c r="L82" i="11"/>
  <c r="L83" i="11" s="1"/>
  <c r="F82" i="11"/>
  <c r="F83" i="11" s="1"/>
  <c r="E70" i="11"/>
  <c r="E71" i="11" s="1"/>
  <c r="E72" i="11" s="1"/>
  <c r="K82" i="11"/>
  <c r="K83" i="11" s="1"/>
  <c r="I82" i="11"/>
  <c r="I83" i="11" s="1"/>
  <c r="J49" i="12"/>
  <c r="J52" i="12" s="1"/>
  <c r="J48" i="12"/>
  <c r="J51" i="12" s="1"/>
  <c r="J50" i="12"/>
  <c r="J53" i="12" s="1"/>
  <c r="E70" i="12"/>
  <c r="E71" i="12" s="1"/>
  <c r="E72" i="12" s="1"/>
  <c r="Q82" i="12"/>
  <c r="Q83" i="12" s="1"/>
  <c r="F82" i="12"/>
  <c r="F83" i="12" s="1"/>
  <c r="B82" i="12"/>
  <c r="B83" i="12" s="1"/>
  <c r="P82" i="12"/>
  <c r="P83" i="12" s="1"/>
  <c r="H82" i="12"/>
  <c r="H83" i="12" s="1"/>
  <c r="I82" i="12"/>
  <c r="I83" i="12" s="1"/>
  <c r="N82" i="12"/>
  <c r="N83" i="12" s="1"/>
  <c r="K82" i="12"/>
  <c r="K83" i="12" s="1"/>
  <c r="J82" i="12"/>
  <c r="J83" i="12" s="1"/>
  <c r="V82" i="12"/>
  <c r="V83" i="12" s="1"/>
  <c r="E82" i="12"/>
  <c r="E83" i="12" s="1"/>
  <c r="R82" i="12"/>
  <c r="R83" i="12" s="1"/>
  <c r="G82" i="12"/>
  <c r="G83" i="12" s="1"/>
  <c r="D82" i="12"/>
  <c r="D83" i="12" s="1"/>
  <c r="M82" i="12"/>
  <c r="M83" i="12" s="1"/>
  <c r="L82" i="12"/>
  <c r="L83" i="12" s="1"/>
  <c r="U82" i="12"/>
  <c r="U83" i="12" s="1"/>
  <c r="T82" i="12"/>
  <c r="T83" i="12" s="1"/>
  <c r="S82" i="12"/>
  <c r="S83" i="12" s="1"/>
  <c r="C82" i="12"/>
  <c r="C83" i="12" s="1"/>
  <c r="O82" i="12"/>
  <c r="O83" i="12" s="1"/>
  <c r="J49" i="11"/>
  <c r="J52" i="11" s="1"/>
  <c r="J48" i="11"/>
  <c r="J51" i="11" s="1"/>
  <c r="J50" i="11"/>
  <c r="J53" i="11" s="1"/>
  <c r="E70" i="10"/>
  <c r="E71" i="10" s="1"/>
  <c r="E72" i="10" s="1"/>
  <c r="P82" i="10"/>
  <c r="P83" i="10" s="1"/>
  <c r="N82" i="10"/>
  <c r="N83" i="10" s="1"/>
  <c r="C82" i="10"/>
  <c r="C83" i="10" s="1"/>
  <c r="G82" i="10"/>
  <c r="G83" i="10" s="1"/>
  <c r="F82" i="10"/>
  <c r="F83" i="10" s="1"/>
  <c r="S82" i="10"/>
  <c r="S83" i="10" s="1"/>
  <c r="H82" i="10"/>
  <c r="H83" i="10" s="1"/>
  <c r="O82" i="10"/>
  <c r="O83" i="10" s="1"/>
  <c r="U82" i="10"/>
  <c r="U83" i="10" s="1"/>
  <c r="V82" i="10"/>
  <c r="V83" i="10" s="1"/>
  <c r="D82" i="10"/>
  <c r="D83" i="10" s="1"/>
  <c r="K82" i="10"/>
  <c r="K83" i="10" s="1"/>
  <c r="J82" i="10"/>
  <c r="J83" i="10" s="1"/>
  <c r="M82" i="10"/>
  <c r="M83" i="10" s="1"/>
  <c r="I82" i="10"/>
  <c r="I83" i="10" s="1"/>
  <c r="T82" i="10"/>
  <c r="T83" i="10" s="1"/>
  <c r="Q82" i="10"/>
  <c r="Q83" i="10" s="1"/>
  <c r="B82" i="10"/>
  <c r="B83" i="10" s="1"/>
  <c r="R82" i="10"/>
  <c r="R83" i="10" s="1"/>
  <c r="L82" i="10"/>
  <c r="L83" i="10" s="1"/>
  <c r="E82" i="10"/>
  <c r="E83" i="10" s="1"/>
  <c r="J48" i="10"/>
  <c r="J51" i="10" s="1"/>
  <c r="J49" i="10"/>
  <c r="J52" i="10" s="1"/>
  <c r="J50" i="10"/>
  <c r="J53" i="10" s="1"/>
  <c r="F62" i="4"/>
  <c r="E63" i="4" s="1"/>
  <c r="E67" i="4" s="1"/>
  <c r="J46" i="4"/>
  <c r="I47" i="4"/>
  <c r="I46" i="4"/>
  <c r="J47" i="4"/>
  <c r="AG15" i="20" l="1"/>
  <c r="AG14" i="20"/>
  <c r="AD18" i="20"/>
  <c r="AG19" i="20"/>
  <c r="AF19" i="20"/>
  <c r="AD19" i="20"/>
  <c r="AF18" i="20"/>
  <c r="AG18" i="20"/>
  <c r="AF7" i="20"/>
  <c r="AG7" i="20"/>
  <c r="AG8" i="20"/>
  <c r="AF8" i="20"/>
  <c r="AG12" i="20"/>
  <c r="AF12" i="20"/>
  <c r="AG13" i="20"/>
  <c r="AF13" i="20"/>
  <c r="AG11" i="20"/>
  <c r="AF11" i="20"/>
  <c r="AF10" i="20"/>
  <c r="AG10" i="20"/>
  <c r="AF6" i="20"/>
  <c r="AG6" i="20"/>
  <c r="AF9" i="20"/>
  <c r="AG9" i="20"/>
  <c r="E48" i="18"/>
  <c r="E50" i="18"/>
  <c r="J54" i="18"/>
  <c r="E57" i="18" s="1"/>
  <c r="J54" i="19"/>
  <c r="E54" i="19" s="1"/>
  <c r="I54" i="19"/>
  <c r="E49" i="19"/>
  <c r="E51" i="19"/>
  <c r="E48" i="19"/>
  <c r="E50" i="19"/>
  <c r="E49" i="18"/>
  <c r="E51" i="18"/>
  <c r="J48" i="16"/>
  <c r="J51" i="16" s="1"/>
  <c r="J50" i="16"/>
  <c r="J53" i="16" s="1"/>
  <c r="E50" i="16"/>
  <c r="F11" i="20" s="1"/>
  <c r="E48" i="16"/>
  <c r="C11" i="20" s="1"/>
  <c r="E51" i="16"/>
  <c r="G11" i="20" s="1"/>
  <c r="E49" i="16"/>
  <c r="D11" i="20" s="1"/>
  <c r="J54" i="16"/>
  <c r="E48" i="13"/>
  <c r="C7" i="20" s="1"/>
  <c r="J49" i="17"/>
  <c r="J52" i="17" s="1"/>
  <c r="J50" i="17"/>
  <c r="J53" i="17" s="1"/>
  <c r="J48" i="17"/>
  <c r="J51" i="17" s="1"/>
  <c r="E49" i="17"/>
  <c r="D13" i="20" s="1"/>
  <c r="J54" i="17"/>
  <c r="I54" i="17"/>
  <c r="E51" i="17"/>
  <c r="G13" i="20" s="1"/>
  <c r="E50" i="17"/>
  <c r="F13" i="20" s="1"/>
  <c r="E48" i="17"/>
  <c r="E50" i="13"/>
  <c r="J54" i="13"/>
  <c r="E54" i="13" s="1"/>
  <c r="J7" i="20" s="1"/>
  <c r="E49" i="13"/>
  <c r="D7" i="20" s="1"/>
  <c r="E51" i="13"/>
  <c r="G7" i="20" s="1"/>
  <c r="E49" i="11"/>
  <c r="D10" i="20" s="1"/>
  <c r="I54" i="15"/>
  <c r="E49" i="15"/>
  <c r="D9" i="20" s="1"/>
  <c r="J54" i="15"/>
  <c r="E57" i="15" s="1"/>
  <c r="E51" i="15"/>
  <c r="G9" i="20" s="1"/>
  <c r="E48" i="15"/>
  <c r="C9" i="20" s="1"/>
  <c r="E50" i="15"/>
  <c r="F9" i="20" s="1"/>
  <c r="E48" i="11"/>
  <c r="C10" i="20" s="1"/>
  <c r="E50" i="11"/>
  <c r="F10" i="20" s="1"/>
  <c r="E51" i="12"/>
  <c r="G12" i="20" s="1"/>
  <c r="E49" i="12"/>
  <c r="D12" i="20" s="1"/>
  <c r="I54" i="12"/>
  <c r="J54" i="12"/>
  <c r="E57" i="12" s="1"/>
  <c r="E48" i="12"/>
  <c r="E50" i="12"/>
  <c r="F12" i="20" s="1"/>
  <c r="I54" i="11"/>
  <c r="J54" i="11"/>
  <c r="E57" i="11" s="1"/>
  <c r="I54" i="4"/>
  <c r="E50" i="4"/>
  <c r="J54" i="4"/>
  <c r="E49" i="10"/>
  <c r="D8" i="20" s="1"/>
  <c r="J54" i="10"/>
  <c r="E57" i="10" s="1"/>
  <c r="I54" i="10"/>
  <c r="E51" i="10"/>
  <c r="G8" i="20" s="1"/>
  <c r="E48" i="10"/>
  <c r="C8" i="20" s="1"/>
  <c r="E50" i="10"/>
  <c r="F8" i="20" s="1"/>
  <c r="E51" i="4"/>
  <c r="G6" i="20" s="1"/>
  <c r="P82" i="4"/>
  <c r="P83" i="4" s="1"/>
  <c r="Q82" i="4"/>
  <c r="Q83" i="4" s="1"/>
  <c r="E66" i="4"/>
  <c r="L82" i="4"/>
  <c r="L83" i="4" s="1"/>
  <c r="E82" i="4"/>
  <c r="E83" i="4" s="1"/>
  <c r="B82" i="4"/>
  <c r="B83" i="4" s="1"/>
  <c r="D82" i="4"/>
  <c r="D83" i="4" s="1"/>
  <c r="V82" i="4"/>
  <c r="V83" i="4" s="1"/>
  <c r="I82" i="4"/>
  <c r="I83" i="4" s="1"/>
  <c r="N82" i="4"/>
  <c r="N83" i="4" s="1"/>
  <c r="J82" i="4"/>
  <c r="J83" i="4" s="1"/>
  <c r="T82" i="4"/>
  <c r="T83" i="4" s="1"/>
  <c r="K82" i="4"/>
  <c r="K83" i="4" s="1"/>
  <c r="U82" i="4"/>
  <c r="U83" i="4" s="1"/>
  <c r="E70" i="4"/>
  <c r="E71" i="4" s="1"/>
  <c r="E72" i="4" s="1"/>
  <c r="F82" i="4"/>
  <c r="F83" i="4" s="1"/>
  <c r="G82" i="4"/>
  <c r="G83" i="4" s="1"/>
  <c r="S82" i="4"/>
  <c r="S83" i="4" s="1"/>
  <c r="H82" i="4"/>
  <c r="H83" i="4" s="1"/>
  <c r="R82" i="4"/>
  <c r="R83" i="4" s="1"/>
  <c r="M82" i="4"/>
  <c r="M83" i="4" s="1"/>
  <c r="O82" i="4"/>
  <c r="O83" i="4" s="1"/>
  <c r="C82" i="4"/>
  <c r="C83" i="4" s="1"/>
  <c r="E49" i="4"/>
  <c r="D6" i="20" s="1"/>
  <c r="J48" i="4"/>
  <c r="J51" i="4" s="1"/>
  <c r="J50" i="4"/>
  <c r="J53" i="4" s="1"/>
  <c r="J49" i="4"/>
  <c r="J52" i="4" s="1"/>
  <c r="P58" i="1" l="1"/>
  <c r="P59" i="1"/>
  <c r="P56" i="1"/>
  <c r="P60" i="1"/>
  <c r="P62" i="1"/>
  <c r="P57" i="1"/>
  <c r="P55" i="1"/>
  <c r="P61" i="1"/>
  <c r="G14" i="20"/>
  <c r="G15" i="20"/>
  <c r="U14" i="20"/>
  <c r="V14" i="20" s="1"/>
  <c r="U18" i="20"/>
  <c r="V18" i="20" s="1"/>
  <c r="C15" i="20"/>
  <c r="D14" i="20"/>
  <c r="D15" i="20"/>
  <c r="F14" i="20"/>
  <c r="J15" i="20"/>
  <c r="F15" i="20"/>
  <c r="C14" i="20"/>
  <c r="E57" i="4"/>
  <c r="U6" i="20" s="1"/>
  <c r="V6" i="20" s="1"/>
  <c r="U8" i="20"/>
  <c r="V8" i="20" s="1"/>
  <c r="U12" i="20"/>
  <c r="V12" i="20" s="1"/>
  <c r="U9" i="20"/>
  <c r="V9" i="20" s="1"/>
  <c r="C13" i="20"/>
  <c r="C12" i="20"/>
  <c r="F7" i="20"/>
  <c r="F6" i="20"/>
  <c r="U10" i="20"/>
  <c r="V10" i="20" s="1"/>
  <c r="E53" i="10"/>
  <c r="I8" i="20" s="1"/>
  <c r="E53" i="4"/>
  <c r="I6" i="20" s="1"/>
  <c r="E54" i="18"/>
  <c r="E53" i="18"/>
  <c r="E57" i="19"/>
  <c r="E53" i="19"/>
  <c r="E57" i="16"/>
  <c r="E53" i="16"/>
  <c r="I11" i="20" s="1"/>
  <c r="E54" i="16"/>
  <c r="J11" i="20" s="1"/>
  <c r="E57" i="17"/>
  <c r="E53" i="17"/>
  <c r="I13" i="20" s="1"/>
  <c r="E54" i="17"/>
  <c r="J13" i="20" s="1"/>
  <c r="E57" i="13"/>
  <c r="E53" i="13"/>
  <c r="I7" i="20" s="1"/>
  <c r="E54" i="11"/>
  <c r="J10" i="20" s="1"/>
  <c r="E53" i="15"/>
  <c r="I9" i="20" s="1"/>
  <c r="E54" i="15"/>
  <c r="J9" i="20" s="1"/>
  <c r="E53" i="11"/>
  <c r="I10" i="20" s="1"/>
  <c r="E53" i="12"/>
  <c r="I12" i="20" s="1"/>
  <c r="E54" i="12"/>
  <c r="J12" i="20" s="1"/>
  <c r="E54" i="10"/>
  <c r="J8" i="20" s="1"/>
  <c r="E54" i="4"/>
  <c r="J6" i="20" s="1"/>
  <c r="J14" i="20" l="1"/>
  <c r="I15" i="20"/>
  <c r="P15" i="20" s="1"/>
  <c r="U15" i="20"/>
  <c r="V15" i="20" s="1"/>
  <c r="U19" i="20"/>
  <c r="V19" i="20" s="1"/>
  <c r="I14" i="20"/>
  <c r="AS13" i="20"/>
  <c r="AS10" i="20"/>
  <c r="AS6" i="20"/>
  <c r="P7" i="20"/>
  <c r="AS7" i="20"/>
  <c r="AS12" i="20"/>
  <c r="AS8" i="20"/>
  <c r="AS9" i="20"/>
  <c r="AS11" i="20"/>
  <c r="P13" i="20"/>
  <c r="Q13" i="20" s="1"/>
  <c r="P10" i="20"/>
  <c r="Q10" i="20" s="1"/>
  <c r="P6" i="20"/>
  <c r="Q6" i="20" s="1"/>
  <c r="P12" i="20"/>
  <c r="Q12" i="20" s="1"/>
  <c r="P8" i="20"/>
  <c r="Q8" i="20" s="1"/>
  <c r="P9" i="20"/>
  <c r="Q9" i="20" s="1"/>
  <c r="P11" i="20"/>
  <c r="Q11" i="20" s="1"/>
  <c r="U11" i="20"/>
  <c r="V11" i="20" s="1"/>
  <c r="U13" i="20"/>
  <c r="V13" i="20" s="1"/>
  <c r="U7" i="20"/>
  <c r="V7" i="20" s="1"/>
  <c r="G53" i="4"/>
  <c r="G54" i="4"/>
  <c r="K80" i="18"/>
  <c r="K81" i="18" s="1"/>
  <c r="V80" i="18"/>
  <c r="V81" i="18" s="1"/>
  <c r="F80" i="18"/>
  <c r="F81" i="18" s="1"/>
  <c r="G80" i="18"/>
  <c r="G81" i="18" s="1"/>
  <c r="J80" i="18"/>
  <c r="J81" i="18" s="1"/>
  <c r="E59" i="18"/>
  <c r="E60" i="18" s="1"/>
  <c r="L80" i="18"/>
  <c r="L81" i="18" s="1"/>
  <c r="R80" i="18"/>
  <c r="R81" i="18" s="1"/>
  <c r="S80" i="18"/>
  <c r="S81" i="18" s="1"/>
  <c r="E80" i="18"/>
  <c r="E81" i="18" s="1"/>
  <c r="C80" i="18"/>
  <c r="C81" i="18" s="1"/>
  <c r="I80" i="18"/>
  <c r="I81" i="18" s="1"/>
  <c r="U80" i="18"/>
  <c r="U81" i="18" s="1"/>
  <c r="N80" i="18"/>
  <c r="N81" i="18" s="1"/>
  <c r="M80" i="18"/>
  <c r="M81" i="18" s="1"/>
  <c r="B80" i="18"/>
  <c r="B81" i="18" s="1"/>
  <c r="P80" i="18"/>
  <c r="P81" i="18" s="1"/>
  <c r="H80" i="18"/>
  <c r="H81" i="18" s="1"/>
  <c r="Q80" i="18"/>
  <c r="Q81" i="18" s="1"/>
  <c r="T80" i="18"/>
  <c r="T81" i="18" s="1"/>
  <c r="O80" i="18"/>
  <c r="O81" i="18" s="1"/>
  <c r="D80" i="18"/>
  <c r="D81" i="18" s="1"/>
  <c r="D80" i="19"/>
  <c r="D81" i="19" s="1"/>
  <c r="P80" i="19"/>
  <c r="P81" i="19" s="1"/>
  <c r="B80" i="19"/>
  <c r="B81" i="19" s="1"/>
  <c r="M80" i="19"/>
  <c r="M81" i="19" s="1"/>
  <c r="T80" i="19"/>
  <c r="T81" i="19" s="1"/>
  <c r="L80" i="19"/>
  <c r="L81" i="19" s="1"/>
  <c r="K80" i="19"/>
  <c r="K81" i="19" s="1"/>
  <c r="N80" i="19"/>
  <c r="N81" i="19" s="1"/>
  <c r="H80" i="19"/>
  <c r="H81" i="19" s="1"/>
  <c r="R80" i="19"/>
  <c r="R81" i="19" s="1"/>
  <c r="J80" i="19"/>
  <c r="J81" i="19" s="1"/>
  <c r="F80" i="19"/>
  <c r="F81" i="19" s="1"/>
  <c r="U80" i="19"/>
  <c r="U81" i="19" s="1"/>
  <c r="V80" i="19"/>
  <c r="V81" i="19" s="1"/>
  <c r="Q80" i="19"/>
  <c r="Q81" i="19" s="1"/>
  <c r="I80" i="19"/>
  <c r="I81" i="19" s="1"/>
  <c r="C80" i="19"/>
  <c r="C81" i="19" s="1"/>
  <c r="G80" i="19"/>
  <c r="G81" i="19" s="1"/>
  <c r="E80" i="19"/>
  <c r="E81" i="19" s="1"/>
  <c r="S80" i="19"/>
  <c r="S81" i="19" s="1"/>
  <c r="O80" i="19"/>
  <c r="O81" i="19" s="1"/>
  <c r="E59" i="19"/>
  <c r="E60" i="19" s="1"/>
  <c r="I80" i="16"/>
  <c r="I81" i="16" s="1"/>
  <c r="Q80" i="16"/>
  <c r="Q81" i="16" s="1"/>
  <c r="E59" i="16"/>
  <c r="E60" i="16" s="1"/>
  <c r="L80" i="16"/>
  <c r="L81" i="16" s="1"/>
  <c r="H80" i="16"/>
  <c r="H81" i="16" s="1"/>
  <c r="K80" i="16"/>
  <c r="K81" i="16" s="1"/>
  <c r="D80" i="16"/>
  <c r="D81" i="16" s="1"/>
  <c r="S80" i="16"/>
  <c r="S81" i="16" s="1"/>
  <c r="U80" i="16"/>
  <c r="U81" i="16" s="1"/>
  <c r="N80" i="16"/>
  <c r="N81" i="16" s="1"/>
  <c r="R80" i="16"/>
  <c r="R81" i="16" s="1"/>
  <c r="P80" i="16"/>
  <c r="P81" i="16" s="1"/>
  <c r="F80" i="16"/>
  <c r="F81" i="16" s="1"/>
  <c r="V80" i="16"/>
  <c r="V81" i="16" s="1"/>
  <c r="J80" i="16"/>
  <c r="J81" i="16" s="1"/>
  <c r="G80" i="16"/>
  <c r="G81" i="16" s="1"/>
  <c r="T80" i="16"/>
  <c r="T81" i="16" s="1"/>
  <c r="E80" i="16"/>
  <c r="E81" i="16" s="1"/>
  <c r="C80" i="16"/>
  <c r="C81" i="16" s="1"/>
  <c r="O80" i="16"/>
  <c r="O81" i="16" s="1"/>
  <c r="M80" i="16"/>
  <c r="M81" i="16" s="1"/>
  <c r="B80" i="16"/>
  <c r="B81" i="16" s="1"/>
  <c r="S80" i="11"/>
  <c r="S81" i="11" s="1"/>
  <c r="N80" i="11"/>
  <c r="N81" i="11" s="1"/>
  <c r="M80" i="11"/>
  <c r="M81" i="11" s="1"/>
  <c r="E59" i="17"/>
  <c r="Q80" i="17"/>
  <c r="Q81" i="17" s="1"/>
  <c r="G80" i="17"/>
  <c r="G81" i="17" s="1"/>
  <c r="D80" i="17"/>
  <c r="D81" i="17" s="1"/>
  <c r="P80" i="17"/>
  <c r="P81" i="17" s="1"/>
  <c r="I80" i="17"/>
  <c r="I81" i="17" s="1"/>
  <c r="T80" i="17"/>
  <c r="T81" i="17" s="1"/>
  <c r="O80" i="17"/>
  <c r="O81" i="17" s="1"/>
  <c r="H80" i="17"/>
  <c r="H81" i="17" s="1"/>
  <c r="F80" i="17"/>
  <c r="F81" i="17" s="1"/>
  <c r="L80" i="17"/>
  <c r="L81" i="17" s="1"/>
  <c r="E80" i="17"/>
  <c r="E81" i="17" s="1"/>
  <c r="R80" i="17"/>
  <c r="R81" i="17" s="1"/>
  <c r="B80" i="17"/>
  <c r="B81" i="17" s="1"/>
  <c r="U80" i="17"/>
  <c r="U81" i="17" s="1"/>
  <c r="J80" i="17"/>
  <c r="J81" i="17" s="1"/>
  <c r="C80" i="17"/>
  <c r="C81" i="17" s="1"/>
  <c r="V80" i="17"/>
  <c r="V81" i="17" s="1"/>
  <c r="K80" i="17"/>
  <c r="K81" i="17" s="1"/>
  <c r="M80" i="17"/>
  <c r="M81" i="17" s="1"/>
  <c r="S80" i="17"/>
  <c r="S81" i="17" s="1"/>
  <c r="N80" i="17"/>
  <c r="N81" i="17" s="1"/>
  <c r="T80" i="13"/>
  <c r="T81" i="13" s="1"/>
  <c r="B80" i="13"/>
  <c r="B81" i="13" s="1"/>
  <c r="V80" i="11"/>
  <c r="V81" i="11" s="1"/>
  <c r="L80" i="11"/>
  <c r="L81" i="11" s="1"/>
  <c r="J80" i="13"/>
  <c r="J81" i="13" s="1"/>
  <c r="D80" i="13"/>
  <c r="D81" i="13" s="1"/>
  <c r="L80" i="13"/>
  <c r="L81" i="13" s="1"/>
  <c r="E80" i="13"/>
  <c r="E81" i="13" s="1"/>
  <c r="R80" i="13"/>
  <c r="R81" i="13" s="1"/>
  <c r="O80" i="13"/>
  <c r="O81" i="13" s="1"/>
  <c r="Q80" i="13"/>
  <c r="Q81" i="13" s="1"/>
  <c r="S80" i="13"/>
  <c r="S81" i="13" s="1"/>
  <c r="U80" i="11"/>
  <c r="U81" i="11" s="1"/>
  <c r="D80" i="11"/>
  <c r="D81" i="11" s="1"/>
  <c r="H80" i="11"/>
  <c r="H81" i="11" s="1"/>
  <c r="M80" i="13"/>
  <c r="M81" i="13" s="1"/>
  <c r="C80" i="13"/>
  <c r="C81" i="13" s="1"/>
  <c r="I80" i="13"/>
  <c r="I81" i="13" s="1"/>
  <c r="K80" i="11"/>
  <c r="K81" i="11" s="1"/>
  <c r="I80" i="11"/>
  <c r="I81" i="11" s="1"/>
  <c r="N80" i="13"/>
  <c r="N81" i="13" s="1"/>
  <c r="G80" i="13"/>
  <c r="G81" i="13" s="1"/>
  <c r="V80" i="13"/>
  <c r="V81" i="13" s="1"/>
  <c r="E59" i="13"/>
  <c r="E60" i="13" s="1"/>
  <c r="K80" i="13"/>
  <c r="K81" i="13" s="1"/>
  <c r="G80" i="11"/>
  <c r="G81" i="11" s="1"/>
  <c r="F80" i="13"/>
  <c r="F81" i="13" s="1"/>
  <c r="H80" i="13"/>
  <c r="H81" i="13" s="1"/>
  <c r="U80" i="13"/>
  <c r="U81" i="13" s="1"/>
  <c r="P80" i="13"/>
  <c r="P81" i="13" s="1"/>
  <c r="C80" i="11"/>
  <c r="C81" i="11" s="1"/>
  <c r="F80" i="11"/>
  <c r="F81" i="11" s="1"/>
  <c r="Q80" i="11"/>
  <c r="Q81" i="11" s="1"/>
  <c r="B80" i="11"/>
  <c r="B81" i="11" s="1"/>
  <c r="E80" i="11"/>
  <c r="E81" i="11" s="1"/>
  <c r="E59" i="11"/>
  <c r="E60" i="11" s="1"/>
  <c r="T80" i="11"/>
  <c r="T81" i="11" s="1"/>
  <c r="P80" i="11"/>
  <c r="P81" i="11" s="1"/>
  <c r="R80" i="11"/>
  <c r="R81" i="11" s="1"/>
  <c r="J80" i="11"/>
  <c r="J81" i="11" s="1"/>
  <c r="O80" i="11"/>
  <c r="O81" i="11" s="1"/>
  <c r="E59" i="15"/>
  <c r="E60" i="15" s="1"/>
  <c r="E80" i="15"/>
  <c r="E81" i="15" s="1"/>
  <c r="P80" i="15"/>
  <c r="P81" i="15" s="1"/>
  <c r="U80" i="15"/>
  <c r="U81" i="15" s="1"/>
  <c r="Q80" i="15"/>
  <c r="Q81" i="15" s="1"/>
  <c r="K80" i="15"/>
  <c r="K81" i="15" s="1"/>
  <c r="R80" i="15"/>
  <c r="R81" i="15" s="1"/>
  <c r="N80" i="15"/>
  <c r="N81" i="15" s="1"/>
  <c r="T80" i="15"/>
  <c r="T81" i="15" s="1"/>
  <c r="F80" i="15"/>
  <c r="F81" i="15" s="1"/>
  <c r="H80" i="15"/>
  <c r="H81" i="15" s="1"/>
  <c r="C80" i="15"/>
  <c r="C81" i="15" s="1"/>
  <c r="G80" i="15"/>
  <c r="G81" i="15" s="1"/>
  <c r="O80" i="15"/>
  <c r="O81" i="15" s="1"/>
  <c r="L80" i="15"/>
  <c r="L81" i="15" s="1"/>
  <c r="B80" i="15"/>
  <c r="B81" i="15" s="1"/>
  <c r="I80" i="15"/>
  <c r="I81" i="15" s="1"/>
  <c r="V80" i="15"/>
  <c r="V81" i="15" s="1"/>
  <c r="M80" i="15"/>
  <c r="M81" i="15" s="1"/>
  <c r="D80" i="15"/>
  <c r="D81" i="15" s="1"/>
  <c r="S80" i="15"/>
  <c r="S81" i="15" s="1"/>
  <c r="J80" i="15"/>
  <c r="J81" i="15" s="1"/>
  <c r="E59" i="12"/>
  <c r="E60" i="12" s="1"/>
  <c r="Q80" i="12"/>
  <c r="Q81" i="12" s="1"/>
  <c r="B80" i="12"/>
  <c r="B81" i="12" s="1"/>
  <c r="P80" i="12"/>
  <c r="P81" i="12" s="1"/>
  <c r="H80" i="12"/>
  <c r="H81" i="12" s="1"/>
  <c r="F80" i="12"/>
  <c r="F81" i="12" s="1"/>
  <c r="N80" i="12"/>
  <c r="N81" i="12" s="1"/>
  <c r="I80" i="12"/>
  <c r="I81" i="12" s="1"/>
  <c r="E80" i="12"/>
  <c r="E81" i="12" s="1"/>
  <c r="K80" i="12"/>
  <c r="K81" i="12" s="1"/>
  <c r="U80" i="12"/>
  <c r="U81" i="12" s="1"/>
  <c r="T80" i="12"/>
  <c r="T81" i="12" s="1"/>
  <c r="D80" i="12"/>
  <c r="D81" i="12" s="1"/>
  <c r="R80" i="12"/>
  <c r="R81" i="12" s="1"/>
  <c r="M80" i="12"/>
  <c r="M81" i="12" s="1"/>
  <c r="C80" i="12"/>
  <c r="C81" i="12" s="1"/>
  <c r="V80" i="12"/>
  <c r="V81" i="12" s="1"/>
  <c r="J80" i="12"/>
  <c r="J81" i="12" s="1"/>
  <c r="G80" i="12"/>
  <c r="G81" i="12" s="1"/>
  <c r="O80" i="12"/>
  <c r="O81" i="12" s="1"/>
  <c r="S80" i="12"/>
  <c r="S81" i="12" s="1"/>
  <c r="L80" i="12"/>
  <c r="L81" i="12" s="1"/>
  <c r="E59" i="10"/>
  <c r="E60" i="10" s="1"/>
  <c r="P80" i="10"/>
  <c r="P81" i="10" s="1"/>
  <c r="F80" i="10"/>
  <c r="F81" i="10" s="1"/>
  <c r="S80" i="10"/>
  <c r="S81" i="10" s="1"/>
  <c r="O80" i="10"/>
  <c r="O81" i="10" s="1"/>
  <c r="N80" i="10"/>
  <c r="N81" i="10" s="1"/>
  <c r="H80" i="10"/>
  <c r="H81" i="10" s="1"/>
  <c r="D80" i="10"/>
  <c r="D81" i="10" s="1"/>
  <c r="C80" i="10"/>
  <c r="C81" i="10" s="1"/>
  <c r="U80" i="10"/>
  <c r="U81" i="10" s="1"/>
  <c r="G80" i="10"/>
  <c r="G81" i="10" s="1"/>
  <c r="K80" i="10"/>
  <c r="K81" i="10" s="1"/>
  <c r="V80" i="10"/>
  <c r="V81" i="10" s="1"/>
  <c r="T80" i="10"/>
  <c r="T81" i="10" s="1"/>
  <c r="M80" i="10"/>
  <c r="M81" i="10" s="1"/>
  <c r="J80" i="10"/>
  <c r="J81" i="10" s="1"/>
  <c r="Q80" i="10"/>
  <c r="Q81" i="10" s="1"/>
  <c r="E80" i="10"/>
  <c r="E81" i="10" s="1"/>
  <c r="L80" i="10"/>
  <c r="L81" i="10" s="1"/>
  <c r="B80" i="10"/>
  <c r="B81" i="10" s="1"/>
  <c r="R80" i="10"/>
  <c r="R81" i="10" s="1"/>
  <c r="I80" i="10"/>
  <c r="I81" i="10" s="1"/>
  <c r="D80" i="4"/>
  <c r="D81" i="4" s="1"/>
  <c r="K80" i="4"/>
  <c r="K81" i="4" s="1"/>
  <c r="U80" i="4"/>
  <c r="U81" i="4" s="1"/>
  <c r="J80" i="4"/>
  <c r="J81" i="4" s="1"/>
  <c r="E59" i="4"/>
  <c r="E60" i="4" s="1"/>
  <c r="X6" i="20" s="1"/>
  <c r="T80" i="4"/>
  <c r="T81" i="4" s="1"/>
  <c r="C80" i="4"/>
  <c r="C81" i="4" s="1"/>
  <c r="Q80" i="4"/>
  <c r="Q81" i="4" s="1"/>
  <c r="L80" i="4"/>
  <c r="L81" i="4" s="1"/>
  <c r="F80" i="4"/>
  <c r="F81" i="4" s="1"/>
  <c r="I80" i="4"/>
  <c r="I81" i="4" s="1"/>
  <c r="B80" i="4"/>
  <c r="B81" i="4" s="1"/>
  <c r="P80" i="4"/>
  <c r="P81" i="4" s="1"/>
  <c r="N80" i="4"/>
  <c r="N81" i="4" s="1"/>
  <c r="H80" i="4"/>
  <c r="H81" i="4" s="1"/>
  <c r="G80" i="4"/>
  <c r="G81" i="4" s="1"/>
  <c r="R80" i="4"/>
  <c r="R81" i="4" s="1"/>
  <c r="V80" i="4"/>
  <c r="V81" i="4" s="1"/>
  <c r="M80" i="4"/>
  <c r="M81" i="4" s="1"/>
  <c r="E80" i="4"/>
  <c r="E81" i="4" s="1"/>
  <c r="S80" i="4"/>
  <c r="S81" i="4" s="1"/>
  <c r="O80" i="4"/>
  <c r="O81" i="4" s="1"/>
  <c r="AS14" i="20" l="1"/>
  <c r="P14" i="20"/>
  <c r="Q14" i="20" s="1"/>
  <c r="AS15" i="20"/>
  <c r="P18" i="20"/>
  <c r="AS18" i="20"/>
  <c r="X14" i="20"/>
  <c r="Y14" i="20" s="1"/>
  <c r="X18" i="20"/>
  <c r="P19" i="20"/>
  <c r="AS19" i="20"/>
  <c r="X15" i="20"/>
  <c r="Y15" i="20" s="1"/>
  <c r="X19" i="20"/>
  <c r="AQ9" i="20"/>
  <c r="AP9" i="20"/>
  <c r="AQ8" i="20"/>
  <c r="AP8" i="20"/>
  <c r="AQ12" i="20"/>
  <c r="AP12" i="20"/>
  <c r="AQ10" i="20"/>
  <c r="AP10" i="20"/>
  <c r="AQ6" i="20"/>
  <c r="AP6" i="20"/>
  <c r="AQ13" i="20"/>
  <c r="AP13" i="20"/>
  <c r="AQ11" i="20"/>
  <c r="AP11" i="20"/>
  <c r="AR7" i="20"/>
  <c r="Q7" i="20"/>
  <c r="AN15" i="20"/>
  <c r="Q15" i="20"/>
  <c r="AR15" i="20"/>
  <c r="AN7" i="20"/>
  <c r="Y6" i="20"/>
  <c r="Z6" i="20"/>
  <c r="AN10" i="20"/>
  <c r="AR10" i="20"/>
  <c r="AN8" i="20"/>
  <c r="AR8" i="20"/>
  <c r="AN6" i="20"/>
  <c r="AR6" i="20"/>
  <c r="AN9" i="20"/>
  <c r="AR9" i="20"/>
  <c r="AN13" i="20"/>
  <c r="AR13" i="20"/>
  <c r="AN12" i="20"/>
  <c r="AR12" i="20"/>
  <c r="AN11" i="20"/>
  <c r="AR11" i="20"/>
  <c r="G52" i="4"/>
  <c r="X8" i="20"/>
  <c r="X12" i="20"/>
  <c r="X11" i="20"/>
  <c r="X9" i="20"/>
  <c r="X10" i="20"/>
  <c r="X7" i="20"/>
  <c r="E60" i="17"/>
  <c r="AR14" i="20" l="1"/>
  <c r="Z15" i="20"/>
  <c r="H64" i="1" s="1"/>
  <c r="Z14" i="20"/>
  <c r="H63" i="1" s="1"/>
  <c r="AN14" i="20"/>
  <c r="Y18" i="20"/>
  <c r="H67" i="1" s="1"/>
  <c r="Z18" i="20"/>
  <c r="Z19" i="20"/>
  <c r="Y19" i="20"/>
  <c r="H68" i="1" s="1"/>
  <c r="Q19" i="20"/>
  <c r="AN19" i="20"/>
  <c r="AR19" i="20"/>
  <c r="AR18" i="20"/>
  <c r="Q18" i="20"/>
  <c r="AN18" i="20"/>
  <c r="AV6" i="20"/>
  <c r="K55" i="1" s="1"/>
  <c r="N55" i="1" s="1"/>
  <c r="AV9" i="20"/>
  <c r="K58" i="1" s="1"/>
  <c r="N58" i="1" s="1"/>
  <c r="AQ7" i="20"/>
  <c r="AP7" i="20"/>
  <c r="AV11" i="20"/>
  <c r="K60" i="1" s="1"/>
  <c r="AV12" i="20"/>
  <c r="K61" i="1" s="1"/>
  <c r="AQ15" i="20"/>
  <c r="AP15" i="20"/>
  <c r="AV10" i="20"/>
  <c r="K59" i="1" s="1"/>
  <c r="AQ14" i="20"/>
  <c r="AP14" i="20"/>
  <c r="AV13" i="20"/>
  <c r="K62" i="1" s="1"/>
  <c r="AV8" i="20"/>
  <c r="K57" i="1" s="1"/>
  <c r="H55" i="1"/>
  <c r="Z7" i="20"/>
  <c r="Y7" i="20"/>
  <c r="Y11" i="20"/>
  <c r="Z11" i="20"/>
  <c r="Y10" i="20"/>
  <c r="Z10" i="20"/>
  <c r="Z9" i="20"/>
  <c r="Y9" i="20"/>
  <c r="Z12" i="20"/>
  <c r="Y12" i="20"/>
  <c r="Z8" i="20"/>
  <c r="Y8" i="20"/>
  <c r="AU11" i="20"/>
  <c r="G60" i="1" s="1"/>
  <c r="AU6" i="20"/>
  <c r="G55" i="1" s="1"/>
  <c r="AU13" i="20"/>
  <c r="G62" i="1" s="1"/>
  <c r="AU10" i="20"/>
  <c r="G59" i="1" s="1"/>
  <c r="AU12" i="20"/>
  <c r="G61" i="1" s="1"/>
  <c r="AU8" i="20"/>
  <c r="G57" i="1" s="1"/>
  <c r="AU9" i="20"/>
  <c r="G58" i="1" s="1"/>
  <c r="X13" i="20"/>
  <c r="I55" i="1" l="1"/>
  <c r="F55" i="1" s="1"/>
  <c r="G29" i="1" s="1" a="1"/>
  <c r="G29" i="1" s="1"/>
  <c r="N57" i="1"/>
  <c r="J57" i="1" s="1"/>
  <c r="C5" i="26" s="1"/>
  <c r="D5" i="26" s="1"/>
  <c r="N59" i="1"/>
  <c r="J59" i="1" s="1"/>
  <c r="C7" i="26" s="1"/>
  <c r="D7" i="26" s="1"/>
  <c r="N60" i="1"/>
  <c r="J60" i="1" s="1"/>
  <c r="C8" i="26" s="1"/>
  <c r="D8" i="26" s="1"/>
  <c r="N62" i="1"/>
  <c r="J62" i="1" s="1"/>
  <c r="C10" i="26" s="1"/>
  <c r="D10" i="26" s="1"/>
  <c r="N61" i="1"/>
  <c r="J61" i="1" s="1"/>
  <c r="C9" i="26" s="1"/>
  <c r="J58" i="1"/>
  <c r="C6" i="26" s="1"/>
  <c r="J55" i="1"/>
  <c r="B3" i="26" s="1"/>
  <c r="AQ18" i="20"/>
  <c r="AP18" i="20"/>
  <c r="AQ19" i="20"/>
  <c r="AP19" i="20"/>
  <c r="AV15" i="20"/>
  <c r="K64" i="1" s="1"/>
  <c r="AV7" i="20"/>
  <c r="K56" i="1" s="1"/>
  <c r="AU15" i="20"/>
  <c r="G64" i="1" s="1"/>
  <c r="I64" i="1" s="1"/>
  <c r="F64" i="1" s="1"/>
  <c r="AU7" i="20"/>
  <c r="G56" i="1" s="1"/>
  <c r="AV14" i="20"/>
  <c r="K63" i="1" s="1"/>
  <c r="N63" i="1" s="1"/>
  <c r="AU14" i="20"/>
  <c r="G63" i="1" s="1"/>
  <c r="I63" i="1" s="1"/>
  <c r="H61" i="1"/>
  <c r="H56" i="1"/>
  <c r="H57" i="1"/>
  <c r="H58" i="1"/>
  <c r="I58" i="1" s="1"/>
  <c r="F58" i="1" s="1"/>
  <c r="H60" i="1"/>
  <c r="I60" i="1" s="1"/>
  <c r="F60" i="1" s="1"/>
  <c r="H59" i="1"/>
  <c r="I59" i="1" s="1"/>
  <c r="Z13" i="20"/>
  <c r="Y13" i="20"/>
  <c r="F9" i="26" l="1"/>
  <c r="B9" i="26"/>
  <c r="F10" i="26"/>
  <c r="B10" i="26"/>
  <c r="E3" i="26"/>
  <c r="A3" i="26"/>
  <c r="F8" i="26"/>
  <c r="B8" i="26"/>
  <c r="F5" i="26"/>
  <c r="B5" i="26"/>
  <c r="E8" i="26"/>
  <c r="A8" i="26"/>
  <c r="E12" i="26"/>
  <c r="A12" i="26"/>
  <c r="F6" i="26"/>
  <c r="B6" i="26"/>
  <c r="F7" i="26"/>
  <c r="B7" i="26"/>
  <c r="E6" i="26"/>
  <c r="A6" i="26"/>
  <c r="D9" i="26"/>
  <c r="F3" i="26"/>
  <c r="C3" i="26"/>
  <c r="D3" i="26" s="1"/>
  <c r="I61" i="1"/>
  <c r="F61" i="1" s="1"/>
  <c r="N56" i="1"/>
  <c r="J56" i="1" s="1"/>
  <c r="C4" i="26" s="1"/>
  <c r="N64" i="1"/>
  <c r="J64" i="1" s="1"/>
  <c r="F12" i="26" s="1"/>
  <c r="F59" i="1"/>
  <c r="I56" i="1"/>
  <c r="F56" i="1" s="1"/>
  <c r="I57" i="1"/>
  <c r="F57" i="1" s="1"/>
  <c r="D6" i="26"/>
  <c r="C11" i="26"/>
  <c r="AV18" i="20"/>
  <c r="K67" i="1" s="1"/>
  <c r="N67" i="1" s="1"/>
  <c r="AU18" i="20"/>
  <c r="G67" i="1" s="1"/>
  <c r="AV19" i="20"/>
  <c r="K68" i="1" s="1"/>
  <c r="AU19" i="20"/>
  <c r="G68" i="1" s="1"/>
  <c r="H62" i="1"/>
  <c r="I62" i="1" s="1"/>
  <c r="F62" i="1" s="1"/>
  <c r="C12" i="26" l="1"/>
  <c r="D12" i="26" s="1"/>
  <c r="B12" i="26"/>
  <c r="E4" i="26"/>
  <c r="A4" i="26"/>
  <c r="E9" i="26"/>
  <c r="A9" i="26"/>
  <c r="E10" i="26"/>
  <c r="A10" i="26"/>
  <c r="E7" i="26"/>
  <c r="A7" i="26"/>
  <c r="E5" i="26"/>
  <c r="A5" i="26"/>
  <c r="F4" i="26"/>
  <c r="B4" i="26"/>
  <c r="J29" i="1" a="1"/>
  <c r="J29" i="1" s="1"/>
  <c r="N68" i="1"/>
  <c r="J68" i="1" s="1"/>
  <c r="I67" i="1"/>
  <c r="F67" i="1" s="1"/>
  <c r="I68" i="1"/>
  <c r="F68" i="1" s="1"/>
  <c r="J67" i="1"/>
  <c r="G3" i="26" l="1" a="1"/>
  <c r="G3" i="26" s="1"/>
  <c r="G31" i="1" a="1"/>
  <c r="G31" i="1" s="1"/>
  <c r="J31" i="1" a="1"/>
  <c r="J31" i="1" s="1"/>
  <c r="D4" i="26" s="1"/>
  <c r="H3" i="26" a="1"/>
  <c r="H3" i="2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Christoph Hutter</author>
  </authors>
  <commentList>
    <comment ref="F30" authorId="0" shapeId="0" xr:uid="{5BECF28C-24D3-47F5-858C-59BC379C2559}">
      <text>
        <r>
          <rPr>
            <b/>
            <sz val="9"/>
            <color indexed="81"/>
            <rFont val="Segoe UI"/>
            <family val="2"/>
          </rPr>
          <t>VP80x100 : Breite 80mm, Tiefe 100mm, vorgesetzt
VP80x100: width 80mm, depth 100mm, set in front</t>
        </r>
      </text>
    </comment>
    <comment ref="I30" authorId="0" shapeId="0" xr:uid="{C6A47FB1-EB69-409C-8E3C-0260F2F1FA74}">
      <text>
        <r>
          <rPr>
            <b/>
            <sz val="9"/>
            <color indexed="81"/>
            <rFont val="Segoe UI"/>
            <family val="2"/>
          </rPr>
          <t xml:space="preserve">VP80x100 : Breite 80mm, Tiefe 100mm, vorgesetzt
VP80x100: width 80mm, depth 100mm, set in front
</t>
        </r>
      </text>
    </comment>
    <comment ref="M35" authorId="0" shapeId="0" xr:uid="{AA706AFE-09BD-4FC1-88F1-0E9CE8E55293}">
      <text>
        <r>
          <rPr>
            <b/>
            <sz val="9"/>
            <color indexed="81"/>
            <rFont val="Segoe UI"/>
            <family val="2"/>
          </rPr>
          <t xml:space="preserve">Nach EN 18008 darf Glas nicht zur Unterstützung der Statik von Tragwerken eingerechnet werden (Standsicherheit bei Wind).
According EN 18008 glass is not allowed to insure roof constrution staticwise.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<sst xmlns="http://schemas.openxmlformats.org/spreadsheetml/2006/main" count="2247" uniqueCount="350">
  <si>
    <t>German</t>
  </si>
  <si>
    <t>Imperfektion</t>
  </si>
  <si>
    <t>rad</t>
  </si>
  <si>
    <t>B</t>
  </si>
  <si>
    <t>m</t>
  </si>
  <si>
    <t>Bw</t>
  </si>
  <si>
    <t>T1</t>
  </si>
  <si>
    <t>T2</t>
  </si>
  <si>
    <t>UKW</t>
  </si>
  <si>
    <t>UKT</t>
  </si>
  <si>
    <t>M0</t>
  </si>
  <si>
    <t>-</t>
  </si>
  <si>
    <t>Eigenlast (Glas)</t>
  </si>
  <si>
    <t>kN/m2</t>
  </si>
  <si>
    <t>Wandanschluss</t>
  </si>
  <si>
    <t>freitragend</t>
  </si>
  <si>
    <t>Schnee</t>
  </si>
  <si>
    <t>Wind</t>
  </si>
  <si>
    <t>Traverse</t>
  </si>
  <si>
    <t>ohne Stahl</t>
  </si>
  <si>
    <t>mit Stahl</t>
  </si>
  <si>
    <t>kN/m</t>
  </si>
  <si>
    <t>Sparren</t>
  </si>
  <si>
    <t>ja</t>
  </si>
  <si>
    <t>Randsparren</t>
  </si>
  <si>
    <t>nein</t>
  </si>
  <si>
    <t>Spannweite</t>
  </si>
  <si>
    <t>Nicht Biegesteif</t>
  </si>
  <si>
    <t>Sicherheit</t>
  </si>
  <si>
    <t>Gebrauch</t>
  </si>
  <si>
    <t>Check Pfosten</t>
  </si>
  <si>
    <t>Frontträger</t>
  </si>
  <si>
    <t>Horizontal Punkt</t>
  </si>
  <si>
    <t>kN</t>
  </si>
  <si>
    <t>Sparren 1</t>
  </si>
  <si>
    <t>Sparren 2</t>
  </si>
  <si>
    <t>Traverse (Wind)</t>
  </si>
  <si>
    <t>Neigung</t>
  </si>
  <si>
    <t>°</t>
  </si>
  <si>
    <t xml:space="preserve">Winkel </t>
  </si>
  <si>
    <t>Spannweite MiPfo</t>
  </si>
  <si>
    <t>Spannweite MiWa</t>
  </si>
  <si>
    <t>Wandanschluss freitragend</t>
  </si>
  <si>
    <t>Sparren Länge 1:</t>
  </si>
  <si>
    <t>Sparren Länge 2:</t>
  </si>
  <si>
    <t>Sparren Abstand:</t>
  </si>
  <si>
    <t>Traverse:</t>
  </si>
  <si>
    <t>v</t>
  </si>
  <si>
    <t>h</t>
  </si>
  <si>
    <t>Sparren Statik innen:</t>
  </si>
  <si>
    <t>Sparren innen flächig:</t>
  </si>
  <si>
    <t>Randsparren 1</t>
  </si>
  <si>
    <t>Randsparren 2</t>
  </si>
  <si>
    <t>Gratsparren 1</t>
  </si>
  <si>
    <t>Gratsparren</t>
  </si>
  <si>
    <t>T</t>
  </si>
  <si>
    <t>H</t>
  </si>
  <si>
    <t>ANZ</t>
  </si>
  <si>
    <t>EL</t>
  </si>
  <si>
    <t>SL</t>
  </si>
  <si>
    <t>WL</t>
  </si>
  <si>
    <t>STE</t>
  </si>
  <si>
    <t>PFE</t>
  </si>
  <si>
    <t>DAUE</t>
  </si>
  <si>
    <t>BKOR</t>
  </si>
  <si>
    <t>keiner</t>
  </si>
  <si>
    <t>x</t>
  </si>
  <si>
    <t>A</t>
  </si>
  <si>
    <t>Ix</t>
  </si>
  <si>
    <t>Wx</t>
  </si>
  <si>
    <t>Mmax</t>
  </si>
  <si>
    <t>[mm]</t>
  </si>
  <si>
    <t>[mm2]</t>
  </si>
  <si>
    <t>[mm4]</t>
  </si>
  <si>
    <t>[mm3]</t>
  </si>
  <si>
    <t>kNm</t>
  </si>
  <si>
    <t>FT130</t>
  </si>
  <si>
    <t>FT170</t>
  </si>
  <si>
    <t>FT205</t>
  </si>
  <si>
    <t>FT240</t>
  </si>
  <si>
    <t>WT200</t>
  </si>
  <si>
    <t>Pfosten/Travese</t>
  </si>
  <si>
    <t>Iy</t>
  </si>
  <si>
    <t>PF80x80</t>
  </si>
  <si>
    <t>PF100X80</t>
  </si>
  <si>
    <t>PF80 S70x10</t>
  </si>
  <si>
    <t>PF100 S90x10</t>
  </si>
  <si>
    <t>Eckverbinder</t>
  </si>
  <si>
    <t>Pfosten 80</t>
  </si>
  <si>
    <t>Pfosten 100</t>
  </si>
  <si>
    <t>SP95</t>
  </si>
  <si>
    <t>SP135</t>
  </si>
  <si>
    <t>SP135b</t>
  </si>
  <si>
    <t>SP135i</t>
  </si>
  <si>
    <t>SP165i</t>
  </si>
  <si>
    <t>RS95</t>
  </si>
  <si>
    <t>RS135</t>
  </si>
  <si>
    <t>RS135b</t>
  </si>
  <si>
    <t>Sigma zul ST</t>
  </si>
  <si>
    <t>Sigma zul Alu</t>
  </si>
  <si>
    <t>Verformung</t>
  </si>
  <si>
    <t>Stütze A</t>
  </si>
  <si>
    <t>Stütze B</t>
  </si>
  <si>
    <t>Rahmen</t>
  </si>
  <si>
    <t>Auskragung</t>
  </si>
  <si>
    <t>Stütze</t>
  </si>
  <si>
    <t>Eckmoment max</t>
  </si>
  <si>
    <t>Eck</t>
  </si>
  <si>
    <t>Feldmitte</t>
  </si>
  <si>
    <t>Einfacher Balken</t>
  </si>
  <si>
    <t>Ausnutzung</t>
  </si>
  <si>
    <t>Fv</t>
  </si>
  <si>
    <t>Fh</t>
  </si>
  <si>
    <t>Mb</t>
  </si>
  <si>
    <t>Mc</t>
  </si>
  <si>
    <t>Md</t>
  </si>
  <si>
    <t>Me</t>
  </si>
  <si>
    <t>fh</t>
  </si>
  <si>
    <t>fv</t>
  </si>
  <si>
    <t>M</t>
  </si>
  <si>
    <t>L/200</t>
  </si>
  <si>
    <t>UB</t>
  </si>
  <si>
    <t>EV</t>
  </si>
  <si>
    <t>PF</t>
  </si>
  <si>
    <t>Ftmitte</t>
  </si>
  <si>
    <t>MAX</t>
  </si>
  <si>
    <t>F130P80</t>
  </si>
  <si>
    <t>F130P100</t>
  </si>
  <si>
    <t>F170P80</t>
  </si>
  <si>
    <t>F170P100</t>
  </si>
  <si>
    <t>F205P80</t>
  </si>
  <si>
    <t>F205P100</t>
  </si>
  <si>
    <t>F240P80</t>
  </si>
  <si>
    <t>F240P100</t>
  </si>
  <si>
    <t>F205P100S</t>
  </si>
  <si>
    <t>F240P100S</t>
  </si>
  <si>
    <t>W190P80</t>
  </si>
  <si>
    <t>W190P100</t>
  </si>
  <si>
    <t>f</t>
  </si>
  <si>
    <t>sig</t>
  </si>
  <si>
    <t>[N/mm2]</t>
  </si>
  <si>
    <t>135b</t>
  </si>
  <si>
    <t>130i</t>
  </si>
  <si>
    <t>130i - S1</t>
  </si>
  <si>
    <t>130i - S2</t>
  </si>
  <si>
    <t>165i</t>
  </si>
  <si>
    <t>Ix(v)</t>
  </si>
  <si>
    <t>Iy(h)</t>
  </si>
  <si>
    <t>Ix(v) Stahl</t>
  </si>
  <si>
    <t>Iy(h) Stahl</t>
  </si>
  <si>
    <t>80x80</t>
  </si>
  <si>
    <t>80x80S</t>
  </si>
  <si>
    <t>80x100</t>
  </si>
  <si>
    <t>80x100S</t>
  </si>
  <si>
    <t>Zweigelenkrahmen - 2. Ordnung</t>
  </si>
  <si>
    <t>Grundlagen der Tabellen</t>
  </si>
  <si>
    <t>Geometrie:</t>
  </si>
  <si>
    <t>2-Gelenk Rahmen mit gleichlangen Stützen</t>
  </si>
  <si>
    <t>Höhe Stütze</t>
  </si>
  <si>
    <t xml:space="preserve">Höhe </t>
  </si>
  <si>
    <t>mm</t>
  </si>
  <si>
    <t>Breite Frontträger</t>
  </si>
  <si>
    <t>Länge</t>
  </si>
  <si>
    <t>l</t>
  </si>
  <si>
    <t>Lasten:</t>
  </si>
  <si>
    <t>Linienlast:</t>
  </si>
  <si>
    <t xml:space="preserve">vertikal </t>
  </si>
  <si>
    <r>
      <t>q</t>
    </r>
    <r>
      <rPr>
        <vertAlign val="subscript"/>
        <sz val="11"/>
        <color theme="1"/>
        <rFont val="Calibri"/>
        <family val="2"/>
        <scheme val="minor"/>
      </rPr>
      <t>k</t>
    </r>
  </si>
  <si>
    <t>Punktlast</t>
  </si>
  <si>
    <t>F (direkt auf Stütze)</t>
  </si>
  <si>
    <t>horizontal</t>
  </si>
  <si>
    <r>
      <t>Q</t>
    </r>
    <r>
      <rPr>
        <vertAlign val="subscript"/>
        <sz val="11"/>
        <color theme="1"/>
        <rFont val="Calibri"/>
        <family val="2"/>
        <scheme val="minor"/>
      </rPr>
      <t>H</t>
    </r>
    <r>
      <rPr>
        <sz val="11"/>
        <color theme="1"/>
        <rFont val="Calibri"/>
        <family val="2"/>
        <scheme val="minor"/>
      </rPr>
      <t xml:space="preserve"> = H</t>
    </r>
  </si>
  <si>
    <t>Auslenkung Stütze</t>
  </si>
  <si>
    <r>
      <rPr>
        <sz val="11"/>
        <color theme="1"/>
        <rFont val="Calibri"/>
        <family val="2"/>
      </rPr>
      <t>ψ</t>
    </r>
    <r>
      <rPr>
        <vertAlign val="subscript"/>
        <sz val="11"/>
        <color theme="1"/>
        <rFont val="Calibri"/>
        <family val="2"/>
      </rPr>
      <t xml:space="preserve">0                                                </t>
    </r>
    <r>
      <rPr>
        <sz val="11"/>
        <color theme="1"/>
        <rFont val="Calibri"/>
        <family val="2"/>
        <scheme val="minor"/>
      </rPr>
      <t>L/</t>
    </r>
  </si>
  <si>
    <t>Querschnitte / Material:</t>
  </si>
  <si>
    <t>Träger:</t>
  </si>
  <si>
    <t>Material 1:</t>
  </si>
  <si>
    <t>E- Modul</t>
  </si>
  <si>
    <r>
      <t>E</t>
    </r>
    <r>
      <rPr>
        <vertAlign val="subscript"/>
        <sz val="11"/>
        <color theme="1"/>
        <rFont val="Calibri"/>
        <family val="2"/>
        <scheme val="minor"/>
      </rPr>
      <t>1</t>
    </r>
  </si>
  <si>
    <r>
      <rPr>
        <sz val="11"/>
        <color theme="1"/>
        <rFont val="Calibri"/>
        <family val="2"/>
        <scheme val="minor"/>
      </rPr>
      <t>N/mm</t>
    </r>
    <r>
      <rPr>
        <vertAlign val="superscript"/>
        <sz val="11"/>
        <color theme="1"/>
        <rFont val="Calibri"/>
        <family val="2"/>
        <scheme val="minor"/>
      </rPr>
      <t>2</t>
    </r>
  </si>
  <si>
    <t>Material 2:</t>
  </si>
  <si>
    <r>
      <t>E</t>
    </r>
    <r>
      <rPr>
        <vertAlign val="subscript"/>
        <sz val="11"/>
        <color theme="1"/>
        <rFont val="Calibri"/>
        <family val="2"/>
        <scheme val="minor"/>
      </rPr>
      <t>2</t>
    </r>
  </si>
  <si>
    <t>Querschnitt 1:</t>
  </si>
  <si>
    <t>Träheitsmoment</t>
  </si>
  <si>
    <r>
      <t>Iy</t>
    </r>
    <r>
      <rPr>
        <vertAlign val="subscript"/>
        <sz val="11"/>
        <color theme="1"/>
        <rFont val="Calibri"/>
        <family val="2"/>
        <scheme val="minor"/>
      </rPr>
      <t>1</t>
    </r>
  </si>
  <si>
    <r>
      <t>mm</t>
    </r>
    <r>
      <rPr>
        <vertAlign val="superscript"/>
        <sz val="11"/>
        <color theme="1"/>
        <rFont val="Calibri"/>
        <family val="2"/>
        <scheme val="minor"/>
      </rPr>
      <t>4</t>
    </r>
  </si>
  <si>
    <t>Querschnitt 2:</t>
  </si>
  <si>
    <r>
      <t>Iy</t>
    </r>
    <r>
      <rPr>
        <vertAlign val="subscript"/>
        <sz val="11"/>
        <color theme="1"/>
        <rFont val="Calibri"/>
        <family val="2"/>
        <scheme val="minor"/>
      </rPr>
      <t>2</t>
    </r>
  </si>
  <si>
    <t xml:space="preserve">Biegsteifikeit Träger: </t>
  </si>
  <si>
    <r>
      <t>B= (E1*I</t>
    </r>
    <r>
      <rPr>
        <vertAlign val="subscript"/>
        <sz val="11"/>
        <color theme="1"/>
        <rFont val="Calibri"/>
        <family val="2"/>
        <scheme val="minor"/>
      </rPr>
      <t>y1</t>
    </r>
    <r>
      <rPr>
        <sz val="11"/>
        <color theme="1"/>
        <rFont val="Calibri"/>
        <family val="2"/>
        <scheme val="minor"/>
      </rPr>
      <t>+E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*I</t>
    </r>
    <r>
      <rPr>
        <vertAlign val="subscript"/>
        <sz val="11"/>
        <color theme="1"/>
        <rFont val="Calibri"/>
        <family val="2"/>
        <scheme val="minor"/>
      </rPr>
      <t>y2)</t>
    </r>
  </si>
  <si>
    <r>
      <rPr>
        <sz val="11"/>
        <color theme="1"/>
        <rFont val="Calibri"/>
        <family val="2"/>
        <scheme val="minor"/>
      </rPr>
      <t>Nmm</t>
    </r>
    <r>
      <rPr>
        <vertAlign val="superscript"/>
        <sz val="11"/>
        <color theme="1"/>
        <rFont val="Calibri"/>
        <family val="2"/>
        <scheme val="minor"/>
      </rPr>
      <t>2</t>
    </r>
  </si>
  <si>
    <t>Stütze:</t>
  </si>
  <si>
    <r>
      <t>I</t>
    </r>
    <r>
      <rPr>
        <vertAlign val="subscript"/>
        <sz val="11"/>
        <color rgb="FF3F3F76"/>
        <rFont val="Calibri"/>
        <family val="2"/>
        <scheme val="minor"/>
      </rPr>
      <t>y</t>
    </r>
    <r>
      <rPr>
        <vertAlign val="subscript"/>
        <sz val="11"/>
        <color theme="1"/>
        <rFont val="Calibri"/>
        <family val="2"/>
        <scheme val="minor"/>
      </rPr>
      <t>1</t>
    </r>
  </si>
  <si>
    <r>
      <t>I</t>
    </r>
    <r>
      <rPr>
        <vertAlign val="subscript"/>
        <sz val="11"/>
        <color theme="1"/>
        <rFont val="Calibri"/>
        <family val="2"/>
        <scheme val="minor"/>
      </rPr>
      <t>y2</t>
    </r>
  </si>
  <si>
    <r>
      <rPr>
        <sz val="11"/>
        <color theme="1"/>
        <rFont val="Calibri"/>
        <family val="2"/>
        <scheme val="minor"/>
      </rPr>
      <t>mm</t>
    </r>
    <r>
      <rPr>
        <vertAlign val="superscript"/>
        <sz val="11"/>
        <color theme="1"/>
        <rFont val="Calibri"/>
        <family val="2"/>
        <scheme val="minor"/>
      </rPr>
      <t>4</t>
    </r>
  </si>
  <si>
    <t>Hilfswerte / Beiwerte</t>
  </si>
  <si>
    <t>Biegsteifikeit Total</t>
  </si>
  <si>
    <r>
      <t>B= (E1*I</t>
    </r>
    <r>
      <rPr>
        <vertAlign val="subscript"/>
        <sz val="11"/>
        <color rgb="FF3F3F76"/>
        <rFont val="Calibri"/>
        <family val="2"/>
        <scheme val="minor"/>
      </rPr>
      <t>y1</t>
    </r>
    <r>
      <rPr>
        <sz val="11"/>
        <color rgb="FF3F3F76"/>
        <rFont val="Calibri"/>
        <family val="2"/>
        <scheme val="minor"/>
      </rPr>
      <t>+E</t>
    </r>
    <r>
      <rPr>
        <vertAlign val="subscript"/>
        <sz val="11"/>
        <color rgb="FF3F3F76"/>
        <rFont val="Calibri"/>
        <family val="2"/>
        <scheme val="minor"/>
      </rPr>
      <t>2</t>
    </r>
    <r>
      <rPr>
        <sz val="11"/>
        <color rgb="FF3F3F76"/>
        <rFont val="Calibri"/>
        <family val="2"/>
        <scheme val="minor"/>
      </rPr>
      <t>*I</t>
    </r>
    <r>
      <rPr>
        <vertAlign val="subscript"/>
        <sz val="11"/>
        <color rgb="FF3F3F76"/>
        <rFont val="Calibri"/>
        <family val="2"/>
        <scheme val="minor"/>
      </rPr>
      <t>y2)</t>
    </r>
  </si>
  <si>
    <t xml:space="preserve">Ergebnisse </t>
  </si>
  <si>
    <t>I. Ordnung</t>
  </si>
  <si>
    <t>II. Ordnung</t>
  </si>
  <si>
    <t>Lagerkräfte Rahmen:</t>
  </si>
  <si>
    <t>η</t>
  </si>
  <si>
    <t>Druckkraft Stütze</t>
  </si>
  <si>
    <r>
      <t>N</t>
    </r>
    <r>
      <rPr>
        <vertAlign val="subscript"/>
        <sz val="11"/>
        <color theme="1"/>
        <rFont val="Calibri"/>
        <family val="2"/>
        <scheme val="minor"/>
      </rPr>
      <t>Stütze</t>
    </r>
  </si>
  <si>
    <t>ε</t>
  </si>
  <si>
    <t>Lagerkraft a vertikal</t>
  </si>
  <si>
    <r>
      <t>F</t>
    </r>
    <r>
      <rPr>
        <vertAlign val="subscript"/>
        <sz val="11"/>
        <color theme="1"/>
        <rFont val="Calibri"/>
        <family val="2"/>
        <scheme val="minor"/>
      </rPr>
      <t>vA</t>
    </r>
  </si>
  <si>
    <t>α</t>
  </si>
  <si>
    <t>Lagerkraft a horizontal</t>
  </si>
  <si>
    <r>
      <t>F</t>
    </r>
    <r>
      <rPr>
        <vertAlign val="subscript"/>
        <sz val="11"/>
        <color theme="1"/>
        <rFont val="Calibri"/>
        <family val="2"/>
        <scheme val="minor"/>
      </rPr>
      <t>HA</t>
    </r>
  </si>
  <si>
    <t>β</t>
  </si>
  <si>
    <t>Lagerkraft d vertikal</t>
  </si>
  <si>
    <r>
      <t>F</t>
    </r>
    <r>
      <rPr>
        <vertAlign val="subscript"/>
        <sz val="11"/>
        <color theme="1"/>
        <rFont val="Calibri"/>
        <family val="2"/>
        <scheme val="minor"/>
      </rPr>
      <t>vD</t>
    </r>
  </si>
  <si>
    <t>γ</t>
  </si>
  <si>
    <t>Lagerkraft d horizontal</t>
  </si>
  <si>
    <r>
      <t>F</t>
    </r>
    <r>
      <rPr>
        <vertAlign val="subscript"/>
        <sz val="11"/>
        <color theme="1"/>
        <rFont val="Calibri"/>
        <family val="2"/>
        <scheme val="minor"/>
      </rPr>
      <t>HD</t>
    </r>
  </si>
  <si>
    <r>
      <t>α</t>
    </r>
    <r>
      <rPr>
        <vertAlign val="superscript"/>
        <sz val="11"/>
        <color theme="1"/>
        <rFont val="Calibri"/>
        <family val="2"/>
      </rPr>
      <t>strich</t>
    </r>
  </si>
  <si>
    <t>Momentenberechnung</t>
  </si>
  <si>
    <r>
      <t>β</t>
    </r>
    <r>
      <rPr>
        <vertAlign val="superscript"/>
        <sz val="11"/>
        <color theme="1"/>
        <rFont val="Calibri"/>
        <family val="2"/>
      </rPr>
      <t>strich</t>
    </r>
  </si>
  <si>
    <t>Rahmenmoment Ecke B</t>
  </si>
  <si>
    <r>
      <t>M</t>
    </r>
    <r>
      <rPr>
        <vertAlign val="subscript"/>
        <sz val="11"/>
        <color theme="1"/>
        <rFont val="Calibri"/>
        <family val="2"/>
        <scheme val="minor"/>
      </rPr>
      <t>B</t>
    </r>
  </si>
  <si>
    <r>
      <t>ϒ</t>
    </r>
    <r>
      <rPr>
        <vertAlign val="superscript"/>
        <sz val="11"/>
        <color theme="1"/>
        <rFont val="Calibri"/>
        <family val="2"/>
      </rPr>
      <t>strich</t>
    </r>
  </si>
  <si>
    <t>Rahmenmoment Ecke C</t>
  </si>
  <si>
    <r>
      <t>M</t>
    </r>
    <r>
      <rPr>
        <vertAlign val="subscript"/>
        <sz val="11"/>
        <color theme="1"/>
        <rFont val="Calibri"/>
        <family val="2"/>
        <scheme val="minor"/>
      </rPr>
      <t>C</t>
    </r>
  </si>
  <si>
    <t>Ḣ</t>
  </si>
  <si>
    <t>Feldmoment einfacher Balken</t>
  </si>
  <si>
    <r>
      <t>M</t>
    </r>
    <r>
      <rPr>
        <vertAlign val="subscript"/>
        <sz val="11"/>
        <color theme="1"/>
        <rFont val="Calibri"/>
        <family val="2"/>
        <scheme val="minor"/>
      </rPr>
      <t>F</t>
    </r>
  </si>
  <si>
    <t>Verformungen Rahmen</t>
  </si>
  <si>
    <t>Horizontale Verschiebung</t>
  </si>
  <si>
    <r>
      <t>δ = W</t>
    </r>
    <r>
      <rPr>
        <vertAlign val="subscript"/>
        <sz val="11"/>
        <color theme="1"/>
        <rFont val="Calibri"/>
        <family val="2"/>
        <scheme val="minor"/>
      </rPr>
      <t>h</t>
    </r>
  </si>
  <si>
    <t>Verformung: einf. Balken:</t>
  </si>
  <si>
    <r>
      <t>w</t>
    </r>
    <r>
      <rPr>
        <vertAlign val="subscript"/>
        <sz val="11"/>
        <color theme="1"/>
        <rFont val="Calibri"/>
        <family val="2"/>
        <scheme val="minor"/>
      </rPr>
      <t>EB</t>
    </r>
  </si>
  <si>
    <t>Verformung Einspannung:</t>
  </si>
  <si>
    <r>
      <t>wM</t>
    </r>
    <r>
      <rPr>
        <vertAlign val="subscript"/>
        <sz val="11"/>
        <color theme="1"/>
        <rFont val="Calibri"/>
        <family val="2"/>
        <scheme val="minor"/>
      </rPr>
      <t>mitte</t>
    </r>
  </si>
  <si>
    <t>Verformung vertikal in Feldmitte</t>
  </si>
  <si>
    <t>wm</t>
  </si>
  <si>
    <t>Ergebnisse Nur vertikale Linienlast - ohne Berücksichtigung der Stützendurchsenkung</t>
  </si>
  <si>
    <t>Faktor k</t>
  </si>
  <si>
    <t>Lagerkraft a resp. d horizontal</t>
  </si>
  <si>
    <r>
      <t>F</t>
    </r>
    <r>
      <rPr>
        <vertAlign val="subscript"/>
        <sz val="11"/>
        <color theme="1"/>
        <rFont val="Calibri"/>
        <family val="2"/>
        <scheme val="minor"/>
      </rPr>
      <t>hA</t>
    </r>
    <r>
      <rPr>
        <sz val="11"/>
        <color theme="1"/>
        <rFont val="Calibri"/>
        <family val="2"/>
        <scheme val="minor"/>
      </rPr>
      <t xml:space="preserve"> = - F</t>
    </r>
    <r>
      <rPr>
        <vertAlign val="subscript"/>
        <sz val="11"/>
        <color theme="1"/>
        <rFont val="Calibri"/>
        <family val="2"/>
        <scheme val="minor"/>
      </rPr>
      <t>hD</t>
    </r>
  </si>
  <si>
    <t>Lagerkraft a resp. d vertikal</t>
  </si>
  <si>
    <r>
      <t>F</t>
    </r>
    <r>
      <rPr>
        <vertAlign val="subscript"/>
        <sz val="11"/>
        <color theme="1"/>
        <rFont val="Calibri"/>
        <family val="2"/>
        <scheme val="minor"/>
      </rPr>
      <t>vA</t>
    </r>
    <r>
      <rPr>
        <sz val="11"/>
        <color theme="1"/>
        <rFont val="Calibri"/>
        <family val="2"/>
        <scheme val="minor"/>
      </rPr>
      <t xml:space="preserve"> = F</t>
    </r>
    <r>
      <rPr>
        <vertAlign val="subscript"/>
        <sz val="11"/>
        <color theme="1"/>
        <rFont val="Calibri"/>
        <family val="2"/>
        <scheme val="minor"/>
      </rPr>
      <t>vD</t>
    </r>
  </si>
  <si>
    <t>Schnittkräfte Rahmenecken</t>
  </si>
  <si>
    <t>Feldmoment:</t>
  </si>
  <si>
    <t>Randmoment:</t>
  </si>
  <si>
    <r>
      <t>M</t>
    </r>
    <r>
      <rPr>
        <vertAlign val="subscript"/>
        <sz val="11"/>
        <color theme="1"/>
        <rFont val="Calibri"/>
        <family val="2"/>
        <scheme val="minor"/>
      </rPr>
      <t>R</t>
    </r>
  </si>
  <si>
    <t>Verformugen</t>
  </si>
  <si>
    <r>
      <t>w</t>
    </r>
    <r>
      <rPr>
        <vertAlign val="subscript"/>
        <sz val="11"/>
        <color theme="1"/>
        <rFont val="Calibri"/>
        <family val="2"/>
        <scheme val="minor"/>
      </rPr>
      <t>max</t>
    </r>
  </si>
  <si>
    <t>Verformung total</t>
  </si>
  <si>
    <r>
      <t>w</t>
    </r>
    <r>
      <rPr>
        <vertAlign val="subscript"/>
        <sz val="11"/>
        <color theme="1"/>
        <rFont val="Calibri"/>
        <family val="2"/>
        <scheme val="minor"/>
      </rPr>
      <t>tot</t>
    </r>
  </si>
  <si>
    <t>Verformungsfaktor Einspannung:</t>
  </si>
  <si>
    <t>Biegelinien Träger</t>
  </si>
  <si>
    <r>
      <t>x</t>
    </r>
    <r>
      <rPr>
        <vertAlign val="superscript"/>
        <sz val="11"/>
        <color theme="1"/>
        <rFont val="Calibri"/>
        <family val="2"/>
      </rPr>
      <t>strich</t>
    </r>
  </si>
  <si>
    <t>ξ</t>
  </si>
  <si>
    <r>
      <t>ξ</t>
    </r>
    <r>
      <rPr>
        <vertAlign val="superscript"/>
        <sz val="11"/>
        <color theme="1"/>
        <rFont val="Calibri"/>
        <family val="2"/>
      </rPr>
      <t>strich</t>
    </r>
  </si>
  <si>
    <r>
      <t>w(x)</t>
    </r>
    <r>
      <rPr>
        <vertAlign val="subscript"/>
        <sz val="11"/>
        <color theme="1"/>
        <rFont val="Calibri"/>
        <family val="2"/>
      </rPr>
      <t>einfacher Balken</t>
    </r>
  </si>
  <si>
    <r>
      <t>w(x)</t>
    </r>
    <r>
      <rPr>
        <vertAlign val="subscript"/>
        <sz val="11"/>
        <color theme="1"/>
        <rFont val="Calibri"/>
        <family val="2"/>
      </rPr>
      <t>moment</t>
    </r>
  </si>
  <si>
    <t>w(x)überlagert</t>
  </si>
  <si>
    <t>w(x)überlagert nur vertikal</t>
  </si>
  <si>
    <t>135s</t>
  </si>
  <si>
    <t>FTPF ohne MITTELPFOSTEN (Träger + Eckpfosten)</t>
  </si>
  <si>
    <t>FT mit MITTELPFOSTEN (Träger + Eck- und Mittelpfosten)</t>
  </si>
  <si>
    <t>FT mit MITTELPFOSTEN VORGESETZT (Träger + Eckpfosten)</t>
  </si>
  <si>
    <t>vorgesetzter Pfosten (Mitte)</t>
  </si>
  <si>
    <t>Pfosten und Frontträger</t>
  </si>
  <si>
    <t>ohne Mittelpfosten</t>
  </si>
  <si>
    <t>mit Mittelpfosten</t>
  </si>
  <si>
    <t>FTPFvorgesetzt,  ohne MITTELPFOSTEN (Träger + Eckpfosten)</t>
  </si>
  <si>
    <t>FTPFvorgesetzt, mit MITTELPFOSTEN (Träger + Eckpfosten und Mittelpfosten)</t>
  </si>
  <si>
    <t>vorgesetzt</t>
  </si>
  <si>
    <t>Sparrenabstand</t>
  </si>
  <si>
    <t>obenlaufend</t>
  </si>
  <si>
    <t>ja / nein</t>
  </si>
  <si>
    <t>?</t>
  </si>
  <si>
    <t>80x200</t>
  </si>
  <si>
    <t>80x200S</t>
  </si>
  <si>
    <t>80x40</t>
  </si>
  <si>
    <t>80x40S</t>
  </si>
  <si>
    <t xml:space="preserve"> </t>
  </si>
  <si>
    <t>WA ohne MITTELPFOSTEN (WA + Eckpfosten)</t>
  </si>
  <si>
    <t>WA mit MITTELPFOSTEN (WA + Eckpfosten)</t>
  </si>
  <si>
    <t>95 + S</t>
  </si>
  <si>
    <t>135s + S</t>
  </si>
  <si>
    <t>135b + S</t>
  </si>
  <si>
    <t>165i + S (V1)</t>
  </si>
  <si>
    <t>165i + S (V2)</t>
  </si>
  <si>
    <t>Deutsch</t>
  </si>
  <si>
    <t>Englisch</t>
  </si>
  <si>
    <t>Statik PRIME</t>
  </si>
  <si>
    <t>Feldsparren (Statik aussen)</t>
  </si>
  <si>
    <t>Feldsparren (Statik innen/aussen)</t>
  </si>
  <si>
    <t>Front - Pfosten</t>
  </si>
  <si>
    <t>Wand - Pfosten</t>
  </si>
  <si>
    <t>Dachfelder</t>
  </si>
  <si>
    <t>Last auf Bemessungsniveau</t>
  </si>
  <si>
    <t>Unterbauelemente</t>
  </si>
  <si>
    <t>Elemente</t>
  </si>
  <si>
    <t>LED</t>
  </si>
  <si>
    <t>post and frontbeam</t>
  </si>
  <si>
    <t>wall connection</t>
  </si>
  <si>
    <t>traverse</t>
  </si>
  <si>
    <t>rafter</t>
  </si>
  <si>
    <t>field rafter (static outside)</t>
  </si>
  <si>
    <t>field rafter (static outside/inside)</t>
  </si>
  <si>
    <t>edge rafter</t>
  </si>
  <si>
    <t>grat rafter</t>
  </si>
  <si>
    <t>without middle post</t>
  </si>
  <si>
    <t>with middle post</t>
  </si>
  <si>
    <t>without steel</t>
  </si>
  <si>
    <t>with steel</t>
  </si>
  <si>
    <t>posts frontside</t>
  </si>
  <si>
    <t xml:space="preserve">posts  wallside </t>
  </si>
  <si>
    <t>number of fields</t>
  </si>
  <si>
    <t>rafter to rafter</t>
  </si>
  <si>
    <t>load</t>
  </si>
  <si>
    <t>own load (glass)</t>
  </si>
  <si>
    <t>snow</t>
  </si>
  <si>
    <t>wind</t>
  </si>
  <si>
    <t>elements</t>
  </si>
  <si>
    <t>yes / no</t>
  </si>
  <si>
    <t>top running</t>
  </si>
  <si>
    <t>stand alone</t>
  </si>
  <si>
    <t>Grundmasse</t>
  </si>
  <si>
    <t>Basic Dimensions</t>
  </si>
  <si>
    <t>yes</t>
  </si>
  <si>
    <t>no</t>
  </si>
  <si>
    <t>Prüfung EN18008</t>
  </si>
  <si>
    <t>Check EN18008</t>
  </si>
  <si>
    <t>Pfosten</t>
  </si>
  <si>
    <t>Post</t>
  </si>
  <si>
    <t>middle</t>
  </si>
  <si>
    <t>all</t>
  </si>
  <si>
    <t>Static PRIME</t>
  </si>
  <si>
    <t>Projekt</t>
  </si>
  <si>
    <t>Project</t>
  </si>
  <si>
    <t>Sprache</t>
  </si>
  <si>
    <t>Language</t>
  </si>
  <si>
    <t>Verkäufer</t>
  </si>
  <si>
    <t>Sales man</t>
  </si>
  <si>
    <t>placed in front</t>
  </si>
  <si>
    <t>Check input</t>
  </si>
  <si>
    <t>Prüfe Eingabe</t>
  </si>
  <si>
    <t>mitte</t>
  </si>
  <si>
    <t>EP1</t>
  </si>
  <si>
    <t>EP2</t>
  </si>
  <si>
    <t>02.09.2020 / V4.2 / CHU</t>
  </si>
  <si>
    <t>WP1</t>
  </si>
  <si>
    <t>WP2</t>
  </si>
  <si>
    <t>WM0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</si>
</sst>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&quot;Fr.&quot;\ * #,##0.00_ ;_ &quot;Fr.&quot;\ * \-#,##0.00_ ;_ &quot;Fr.&quot;\ * &quot;-&quot;??_ ;_ @_ "/>
    <numFmt numFmtId="165" formatCode="0.000"/>
    <numFmt numFmtId="166" formatCode="0.0"/>
    <numFmt numFmtId="167" formatCode="0.000E+00"/>
    <numFmt numFmtId="168" formatCode="0.0000"/>
    <numFmt numFmtId="169" formatCode="#,##0.00_ ;\-#,##0.00\ "/>
  </numFmts>
  <fonts count="3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4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rgb="FF3F3F76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sz val="18"/>
      <name val="Calibri"/>
      <family val="2"/>
      <scheme val="minor"/>
    </font>
    <font>
      <sz val="12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 tint="4.9989318521683403E-2"/>
      <name val="Arial"/>
      <family val="2"/>
    </font>
    <font>
      <b/>
      <sz val="11"/>
      <color theme="1" tint="4.9989318521683403E-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Segoe UI"/>
      <family val="2"/>
    </font>
    <font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 tint="4.9989318521683403E-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0C0C0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medium">
        <color indexed="64"/>
      </top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2" borderId="1" applyNumberFormat="0" applyAlignment="0" applyProtection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225">
    <xf numFmtId="0" fontId="0" fillId="0" borderId="0" xfId="0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3" fillId="2" borderId="1" xfId="1" applyBorder="1"/>
    <xf numFmtId="0" fontId="0" fillId="0" borderId="3" xfId="0" applyBorder="1"/>
    <xf numFmtId="0" fontId="0" fillId="0" borderId="4" xfId="0" applyBorder="1"/>
    <xf numFmtId="0" fontId="3" fillId="2" borderId="0" xfId="1" applyBorder="1"/>
    <xf numFmtId="0" fontId="8" fillId="0" borderId="6" xfId="0" applyFont="1" applyBorder="1"/>
    <xf numFmtId="0" fontId="0" fillId="0" borderId="0" xfId="0" applyFill="1" applyBorder="1"/>
    <xf numFmtId="167" fontId="0" fillId="0" borderId="0" xfId="0" applyNumberFormat="1"/>
    <xf numFmtId="0" fontId="3" fillId="2" borderId="17" xfId="1" applyBorder="1"/>
    <xf numFmtId="0" fontId="6" fillId="0" borderId="0" xfId="0" applyFont="1"/>
    <xf numFmtId="2" fontId="0" fillId="0" borderId="0" xfId="0" applyNumberFormat="1"/>
    <xf numFmtId="165" fontId="0" fillId="0" borderId="0" xfId="0" applyNumberFormat="1"/>
    <xf numFmtId="168" fontId="0" fillId="0" borderId="0" xfId="0" applyNumberFormat="1"/>
    <xf numFmtId="0" fontId="0" fillId="0" borderId="7" xfId="0" applyBorder="1"/>
    <xf numFmtId="0" fontId="0" fillId="0" borderId="8" xfId="0" applyFill="1" applyBorder="1"/>
    <xf numFmtId="0" fontId="0" fillId="0" borderId="2" xfId="0" applyBorder="1"/>
    <xf numFmtId="0" fontId="0" fillId="0" borderId="3" xfId="0" applyFill="1" applyBorder="1"/>
    <xf numFmtId="0" fontId="0" fillId="0" borderId="4" xfId="0" applyFill="1" applyBorder="1"/>
    <xf numFmtId="2" fontId="0" fillId="0" borderId="0" xfId="0" applyNumberFormat="1" applyBorder="1"/>
    <xf numFmtId="0" fontId="0" fillId="0" borderId="6" xfId="0" applyFill="1" applyBorder="1"/>
    <xf numFmtId="0" fontId="0" fillId="0" borderId="8" xfId="0" applyBorder="1"/>
    <xf numFmtId="2" fontId="0" fillId="0" borderId="8" xfId="0" applyNumberFormat="1" applyBorder="1"/>
    <xf numFmtId="0" fontId="0" fillId="0" borderId="9" xfId="0" applyFill="1" applyBorder="1"/>
    <xf numFmtId="2" fontId="0" fillId="0" borderId="3" xfId="0" applyNumberFormat="1" applyBorder="1"/>
    <xf numFmtId="0" fontId="0" fillId="0" borderId="3" xfId="0" applyFont="1" applyFill="1" applyBorder="1"/>
    <xf numFmtId="165" fontId="0" fillId="0" borderId="0" xfId="0" applyNumberFormat="1" applyBorder="1"/>
    <xf numFmtId="165" fontId="0" fillId="0" borderId="6" xfId="0" applyNumberForma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1" fillId="0" borderId="10" xfId="0" applyFont="1" applyBorder="1"/>
    <xf numFmtId="2" fontId="0" fillId="0" borderId="12" xfId="0" applyNumberFormat="1" applyBorder="1"/>
    <xf numFmtId="168" fontId="0" fillId="0" borderId="0" xfId="0" applyNumberFormat="1" applyBorder="1"/>
    <xf numFmtId="0" fontId="0" fillId="0" borderId="9" xfId="0" applyBorder="1"/>
    <xf numFmtId="0" fontId="11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3" fillId="0" borderId="0" xfId="0" applyFont="1"/>
    <xf numFmtId="0" fontId="14" fillId="0" borderId="2" xfId="0" applyFont="1" applyBorder="1"/>
    <xf numFmtId="0" fontId="14" fillId="0" borderId="5" xfId="0" applyFont="1" applyBorder="1"/>
    <xf numFmtId="0" fontId="12" fillId="0" borderId="0" xfId="0" applyFont="1" applyBorder="1"/>
    <xf numFmtId="0" fontId="12" fillId="0" borderId="6" xfId="0" applyFont="1" applyBorder="1"/>
    <xf numFmtId="0" fontId="14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3" fillId="2" borderId="1" xfId="1"/>
    <xf numFmtId="0" fontId="4" fillId="0" borderId="10" xfId="0" applyFont="1" applyBorder="1"/>
    <xf numFmtId="0" fontId="1" fillId="0" borderId="2" xfId="0" applyFont="1" applyBorder="1"/>
    <xf numFmtId="0" fontId="15" fillId="0" borderId="0" xfId="0" applyFont="1"/>
    <xf numFmtId="0" fontId="8" fillId="0" borderId="9" xfId="0" applyFont="1" applyBorder="1"/>
    <xf numFmtId="0" fontId="4" fillId="0" borderId="11" xfId="0" applyFont="1" applyBorder="1"/>
    <xf numFmtId="0" fontId="4" fillId="0" borderId="12" xfId="0" applyFont="1" applyBorder="1"/>
    <xf numFmtId="0" fontId="0" fillId="0" borderId="0" xfId="0" applyFont="1" applyFill="1" applyBorder="1"/>
    <xf numFmtId="0" fontId="1" fillId="0" borderId="11" xfId="0" applyFont="1" applyBorder="1"/>
    <xf numFmtId="2" fontId="1" fillId="0" borderId="11" xfId="0" applyNumberFormat="1" applyFont="1" applyBorder="1"/>
    <xf numFmtId="0" fontId="1" fillId="0" borderId="12" xfId="0" applyFont="1" applyBorder="1"/>
    <xf numFmtId="0" fontId="1" fillId="0" borderId="0" xfId="0" applyFont="1" applyAlignment="1">
      <alignment horizontal="center"/>
    </xf>
    <xf numFmtId="166" fontId="0" fillId="0" borderId="0" xfId="0" applyNumberFormat="1"/>
    <xf numFmtId="0" fontId="18" fillId="0" borderId="0" xfId="0" applyFont="1" applyFill="1" applyBorder="1" applyAlignment="1" applyProtection="1">
      <alignment horizontal="right" indent="1"/>
      <protection locked="0"/>
    </xf>
    <xf numFmtId="1" fontId="0" fillId="0" borderId="0" xfId="0" applyNumberFormat="1"/>
    <xf numFmtId="0" fontId="1" fillId="0" borderId="18" xfId="0" applyFont="1" applyBorder="1" applyAlignment="1">
      <alignment horizontal="center"/>
    </xf>
    <xf numFmtId="0" fontId="0" fillId="0" borderId="18" xfId="0" applyBorder="1" applyAlignment="1">
      <alignment horizontal="center"/>
    </xf>
    <xf numFmtId="166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7" fillId="0" borderId="5" xfId="0" applyFont="1" applyBorder="1" applyAlignment="1">
      <alignment horizontal="left"/>
    </xf>
    <xf numFmtId="0" fontId="18" fillId="0" borderId="6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164" fontId="0" fillId="0" borderId="7" xfId="2" applyFont="1" applyBorder="1"/>
    <xf numFmtId="164" fontId="0" fillId="0" borderId="8" xfId="2" applyFont="1" applyBorder="1"/>
    <xf numFmtId="164" fontId="0" fillId="0" borderId="9" xfId="2" applyFont="1" applyFill="1" applyBorder="1"/>
    <xf numFmtId="164" fontId="0" fillId="0" borderId="0" xfId="2" applyFont="1"/>
    <xf numFmtId="169" fontId="0" fillId="0" borderId="8" xfId="2" applyNumberFormat="1" applyFont="1" applyBorder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20" fillId="0" borderId="0" xfId="0" applyFont="1" applyBorder="1"/>
    <xf numFmtId="0" fontId="20" fillId="0" borderId="0" xfId="0" applyFont="1"/>
    <xf numFmtId="9" fontId="16" fillId="3" borderId="0" xfId="3" applyFont="1" applyFill="1" applyBorder="1" applyAlignment="1">
      <alignment horizontal="center"/>
    </xf>
    <xf numFmtId="9" fontId="21" fillId="0" borderId="0" xfId="3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22" fillId="0" borderId="0" xfId="0" applyFont="1" applyBorder="1"/>
    <xf numFmtId="0" fontId="18" fillId="4" borderId="0" xfId="0" applyFont="1" applyFill="1" applyBorder="1" applyAlignment="1" applyProtection="1">
      <alignment horizontal="right"/>
      <protection locked="0"/>
    </xf>
    <xf numFmtId="0" fontId="18" fillId="4" borderId="0" xfId="0" applyFont="1" applyFill="1" applyBorder="1" applyAlignment="1" applyProtection="1">
      <alignment horizontal="right" indent="1"/>
      <protection locked="0"/>
    </xf>
    <xf numFmtId="0" fontId="18" fillId="4" borderId="8" xfId="0" applyFont="1" applyFill="1" applyBorder="1" applyAlignment="1" applyProtection="1">
      <alignment horizontal="right"/>
      <protection locked="0"/>
    </xf>
    <xf numFmtId="0" fontId="16" fillId="0" borderId="2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6" fillId="0" borderId="0" xfId="0" applyFont="1" applyBorder="1"/>
    <xf numFmtId="2" fontId="16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2" fontId="20" fillId="0" borderId="0" xfId="0" applyNumberFormat="1" applyFont="1" applyBorder="1"/>
    <xf numFmtId="2" fontId="20" fillId="0" borderId="0" xfId="0" applyNumberFormat="1" applyFont="1" applyBorder="1" applyAlignment="1">
      <alignment horizontal="left"/>
    </xf>
    <xf numFmtId="0" fontId="25" fillId="0" borderId="0" xfId="0" applyFont="1" applyBorder="1"/>
    <xf numFmtId="0" fontId="20" fillId="0" borderId="10" xfId="0" applyFont="1" applyBorder="1"/>
    <xf numFmtId="0" fontId="20" fillId="0" borderId="8" xfId="0" applyFont="1" applyBorder="1"/>
    <xf numFmtId="0" fontId="1" fillId="0" borderId="0" xfId="0" applyFont="1" applyBorder="1"/>
    <xf numFmtId="0" fontId="1" fillId="0" borderId="0" xfId="0" applyFont="1"/>
    <xf numFmtId="0" fontId="24" fillId="0" borderId="9" xfId="0" applyFont="1" applyBorder="1"/>
    <xf numFmtId="2" fontId="25" fillId="0" borderId="0" xfId="0" applyNumberFormat="1" applyFont="1" applyBorder="1" applyAlignment="1"/>
    <xf numFmtId="2" fontId="27" fillId="0" borderId="0" xfId="0" applyNumberFormat="1" applyFont="1"/>
    <xf numFmtId="166" fontId="25" fillId="0" borderId="0" xfId="0" applyNumberFormat="1" applyFont="1" applyBorder="1"/>
    <xf numFmtId="166" fontId="27" fillId="0" borderId="0" xfId="0" applyNumberFormat="1" applyFont="1" applyBorder="1"/>
    <xf numFmtId="0" fontId="27" fillId="0" borderId="0" xfId="0" applyFont="1"/>
    <xf numFmtId="165" fontId="25" fillId="0" borderId="0" xfId="0" applyNumberFormat="1" applyFont="1" applyBorder="1"/>
    <xf numFmtId="165" fontId="27" fillId="0" borderId="0" xfId="0" applyNumberFormat="1" applyFont="1"/>
    <xf numFmtId="0" fontId="0" fillId="0" borderId="0" xfId="0" applyAlignment="1">
      <alignment horizontal="left"/>
    </xf>
    <xf numFmtId="166" fontId="0" fillId="0" borderId="18" xfId="0" applyNumberFormat="1" applyBorder="1"/>
    <xf numFmtId="0" fontId="17" fillId="0" borderId="0" xfId="0" applyFont="1" applyBorder="1" applyAlignment="1">
      <alignment horizontal="left"/>
    </xf>
    <xf numFmtId="0" fontId="17" fillId="0" borderId="8" xfId="0" applyFont="1" applyFill="1" applyBorder="1" applyAlignment="1">
      <alignment horizontal="left"/>
    </xf>
    <xf numFmtId="0" fontId="20" fillId="0" borderId="5" xfId="0" applyFont="1" applyBorder="1"/>
    <xf numFmtId="0" fontId="16" fillId="0" borderId="6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11" xfId="0" applyFont="1" applyFill="1" applyBorder="1" applyAlignment="1">
      <alignment horizontal="left"/>
    </xf>
    <xf numFmtId="0" fontId="18" fillId="4" borderId="11" xfId="0" applyFont="1" applyFill="1" applyBorder="1" applyAlignment="1" applyProtection="1">
      <alignment horizontal="right"/>
      <protection locked="0"/>
    </xf>
    <xf numFmtId="0" fontId="16" fillId="0" borderId="5" xfId="0" applyFont="1" applyFill="1" applyBorder="1"/>
    <xf numFmtId="0" fontId="18" fillId="0" borderId="5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0" fontId="20" fillId="0" borderId="21" xfId="0" applyFont="1" applyBorder="1"/>
    <xf numFmtId="0" fontId="16" fillId="0" borderId="21" xfId="0" applyFont="1" applyBorder="1"/>
    <xf numFmtId="0" fontId="16" fillId="0" borderId="22" xfId="0" applyFont="1" applyBorder="1"/>
    <xf numFmtId="0" fontId="20" fillId="0" borderId="23" xfId="0" applyFont="1" applyBorder="1"/>
    <xf numFmtId="0" fontId="20" fillId="0" borderId="19" xfId="0" applyFont="1" applyBorder="1"/>
    <xf numFmtId="0" fontId="16" fillId="0" borderId="24" xfId="0" applyFont="1" applyBorder="1"/>
    <xf numFmtId="0" fontId="16" fillId="0" borderId="19" xfId="0" applyFont="1" applyBorder="1"/>
    <xf numFmtId="0" fontId="16" fillId="0" borderId="19" xfId="0" applyFont="1" applyBorder="1" applyAlignment="1">
      <alignment horizontal="left"/>
    </xf>
    <xf numFmtId="0" fontId="16" fillId="0" borderId="24" xfId="0" applyFont="1" applyBorder="1" applyAlignment="1">
      <alignment horizontal="left"/>
    </xf>
    <xf numFmtId="0" fontId="20" fillId="0" borderId="24" xfId="0" applyFont="1" applyBorder="1"/>
    <xf numFmtId="0" fontId="20" fillId="0" borderId="26" xfId="0" applyFont="1" applyBorder="1"/>
    <xf numFmtId="0" fontId="20" fillId="0" borderId="28" xfId="0" applyFont="1" applyBorder="1"/>
    <xf numFmtId="0" fontId="20" fillId="0" borderId="29" xfId="0" applyFont="1" applyBorder="1"/>
    <xf numFmtId="0" fontId="20" fillId="0" borderId="29" xfId="0" applyFont="1" applyBorder="1" applyAlignment="1">
      <alignment horizontal="right"/>
    </xf>
    <xf numFmtId="0" fontId="16" fillId="0" borderId="29" xfId="0" applyFont="1" applyBorder="1"/>
    <xf numFmtId="0" fontId="16" fillId="0" borderId="30" xfId="0" applyFont="1" applyBorder="1" applyAlignment="1">
      <alignment horizontal="left"/>
    </xf>
    <xf numFmtId="1" fontId="20" fillId="0" borderId="26" xfId="0" applyNumberFormat="1" applyFont="1" applyBorder="1" applyAlignment="1">
      <alignment horizontal="right"/>
    </xf>
    <xf numFmtId="0" fontId="16" fillId="0" borderId="26" xfId="0" applyFont="1" applyBorder="1"/>
    <xf numFmtId="0" fontId="16" fillId="0" borderId="27" xfId="0" applyFont="1" applyBorder="1"/>
    <xf numFmtId="0" fontId="23" fillId="4" borderId="0" xfId="0" applyFont="1" applyFill="1"/>
    <xf numFmtId="0" fontId="0" fillId="0" borderId="26" xfId="0" applyBorder="1"/>
    <xf numFmtId="0" fontId="0" fillId="0" borderId="27" xfId="0" applyBorder="1"/>
    <xf numFmtId="1" fontId="20" fillId="0" borderId="8" xfId="0" applyNumberFormat="1" applyFont="1" applyBorder="1"/>
    <xf numFmtId="0" fontId="16" fillId="0" borderId="8" xfId="0" applyFont="1" applyBorder="1"/>
    <xf numFmtId="0" fontId="16" fillId="0" borderId="25" xfId="0" applyFont="1" applyBorder="1"/>
    <xf numFmtId="0" fontId="16" fillId="0" borderId="23" xfId="0" applyFont="1" applyBorder="1"/>
    <xf numFmtId="0" fontId="16" fillId="0" borderId="20" xfId="0" applyFont="1" applyBorder="1"/>
    <xf numFmtId="0" fontId="16" fillId="0" borderId="7" xfId="0" applyFont="1" applyBorder="1"/>
    <xf numFmtId="0" fontId="18" fillId="0" borderId="8" xfId="0" applyFont="1" applyFill="1" applyBorder="1" applyAlignment="1" applyProtection="1">
      <alignment horizontal="right" indent="1"/>
    </xf>
    <xf numFmtId="0" fontId="16" fillId="4" borderId="11" xfId="0" applyFont="1" applyFill="1" applyBorder="1" applyAlignment="1" applyProtection="1">
      <alignment horizontal="right"/>
      <protection locked="0"/>
    </xf>
    <xf numFmtId="0" fontId="16" fillId="0" borderId="29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16" fillId="0" borderId="26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9" fontId="0" fillId="0" borderId="0" xfId="3" applyFont="1" applyAlignment="1">
      <alignment horizontal="center"/>
    </xf>
    <xf numFmtId="0" fontId="0" fillId="0" borderId="0" xfId="0" applyFont="1"/>
    <xf numFmtId="0" fontId="28" fillId="4" borderId="0" xfId="0" applyFont="1" applyFill="1"/>
    <xf numFmtId="0" fontId="0" fillId="6" borderId="0" xfId="0" applyFont="1" applyFill="1"/>
    <xf numFmtId="0" fontId="0" fillId="7" borderId="0" xfId="0" applyFont="1" applyFill="1"/>
    <xf numFmtId="0" fontId="16" fillId="0" borderId="0" xfId="0" applyFont="1" applyFill="1" applyBorder="1" applyProtection="1">
      <protection locked="0"/>
    </xf>
    <xf numFmtId="2" fontId="16" fillId="0" borderId="8" xfId="0" applyNumberFormat="1" applyFont="1" applyBorder="1"/>
    <xf numFmtId="0" fontId="31" fillId="0" borderId="0" xfId="0" applyFont="1" applyBorder="1"/>
    <xf numFmtId="0" fontId="0" fillId="0" borderId="0" xfId="0" applyAlignment="1">
      <alignment horizontal="center"/>
    </xf>
    <xf numFmtId="0" fontId="33" fillId="0" borderId="11" xfId="0" applyFont="1" applyBorder="1" applyAlignment="1">
      <alignment horizontal="center"/>
    </xf>
    <xf numFmtId="0" fontId="20" fillId="0" borderId="3" xfId="0" applyFont="1" applyBorder="1"/>
    <xf numFmtId="0" fontId="33" fillId="0" borderId="19" xfId="0" applyFont="1" applyBorder="1" applyAlignment="1">
      <alignment horizontal="right"/>
    </xf>
    <xf numFmtId="49" fontId="0" fillId="0" borderId="0" xfId="0" applyNumberFormat="1"/>
    <xf numFmtId="49" fontId="0" fillId="0" borderId="0" xfId="0" applyNumberFormat="1" applyBorder="1"/>
    <xf numFmtId="166" fontId="18" fillId="4" borderId="0" xfId="0" applyNumberFormat="1" applyFont="1" applyFill="1" applyBorder="1" applyAlignment="1" applyProtection="1">
      <alignment horizontal="right"/>
      <protection locked="0"/>
    </xf>
    <xf numFmtId="166" fontId="16" fillId="4" borderId="0" xfId="0" applyNumberFormat="1" applyFont="1" applyFill="1" applyBorder="1" applyProtection="1">
      <protection locked="0"/>
    </xf>
    <xf numFmtId="0" fontId="0" fillId="8" borderId="0" xfId="0" applyFont="1" applyFill="1"/>
    <xf numFmtId="0" fontId="0" fillId="9" borderId="0" xfId="0" applyFont="1" applyFill="1"/>
    <xf numFmtId="0" fontId="26" fillId="0" borderId="5" xfId="0" applyFont="1" applyBorder="1" applyAlignment="1">
      <alignment horizontal="left"/>
    </xf>
    <xf numFmtId="14" fontId="29" fillId="0" borderId="7" xfId="0" applyNumberFormat="1" applyFont="1" applyBorder="1"/>
    <xf numFmtId="0" fontId="20" fillId="0" borderId="9" xfId="0" applyFont="1" applyBorder="1"/>
    <xf numFmtId="14" fontId="29" fillId="0" borderId="5" xfId="0" applyNumberFormat="1" applyFont="1" applyBorder="1"/>
    <xf numFmtId="0" fontId="0" fillId="4" borderId="0" xfId="0" applyFill="1" applyBorder="1" applyProtection="1">
      <protection locked="0"/>
    </xf>
    <xf numFmtId="14" fontId="20" fillId="0" borderId="6" xfId="0" applyNumberFormat="1" applyFont="1" applyBorder="1"/>
    <xf numFmtId="0" fontId="30" fillId="0" borderId="0" xfId="0" applyFont="1" applyBorder="1" applyAlignment="1">
      <alignment horizontal="center"/>
    </xf>
    <xf numFmtId="0" fontId="22" fillId="0" borderId="0" xfId="0" applyFont="1"/>
    <xf numFmtId="0" fontId="30" fillId="0" borderId="6" xfId="0" applyFont="1" applyBorder="1" applyAlignment="1">
      <alignment horizontal="center"/>
    </xf>
    <xf numFmtId="166" fontId="18" fillId="0" borderId="0" xfId="0" applyNumberFormat="1" applyFont="1" applyFill="1" applyBorder="1" applyAlignment="1" applyProtection="1">
      <alignment horizontal="right"/>
    </xf>
    <xf numFmtId="0" fontId="29" fillId="0" borderId="6" xfId="0" applyFont="1" applyBorder="1"/>
    <xf numFmtId="0" fontId="34" fillId="0" borderId="6" xfId="0" applyFont="1" applyBorder="1"/>
    <xf numFmtId="0" fontId="35" fillId="5" borderId="6" xfId="0" applyFont="1" applyFill="1" applyBorder="1"/>
    <xf numFmtId="0" fontId="29" fillId="0" borderId="0" xfId="0" applyFont="1"/>
    <xf numFmtId="0" fontId="34" fillId="0" borderId="0" xfId="0" applyFont="1"/>
    <xf numFmtId="0" fontId="29" fillId="0" borderId="4" xfId="0" applyFont="1" applyBorder="1"/>
    <xf numFmtId="0" fontId="35" fillId="0" borderId="6" xfId="0" applyFont="1" applyBorder="1"/>
    <xf numFmtId="0" fontId="35" fillId="0" borderId="9" xfId="0" applyFont="1" applyBorder="1"/>
    <xf numFmtId="0" fontId="35" fillId="5" borderId="12" xfId="0" applyFont="1" applyFill="1" applyBorder="1"/>
    <xf numFmtId="0" fontId="36" fillId="0" borderId="6" xfId="0" applyFont="1" applyBorder="1" applyAlignment="1">
      <alignment horizontal="left"/>
    </xf>
    <xf numFmtId="0" fontId="36" fillId="0" borderId="6" xfId="0" applyFont="1" applyFill="1" applyBorder="1" applyAlignment="1">
      <alignment horizontal="left"/>
    </xf>
    <xf numFmtId="0" fontId="29" fillId="0" borderId="9" xfId="0" applyFont="1" applyBorder="1"/>
    <xf numFmtId="0" fontId="36" fillId="0" borderId="4" xfId="0" applyFont="1" applyBorder="1" applyAlignment="1">
      <alignment horizontal="left"/>
    </xf>
    <xf numFmtId="0" fontId="36" fillId="0" borderId="9" xfId="0" applyFont="1" applyFill="1" applyBorder="1" applyAlignment="1">
      <alignment horizontal="left"/>
    </xf>
    <xf numFmtId="0" fontId="36" fillId="0" borderId="12" xfId="0" applyFont="1" applyFill="1" applyBorder="1" applyAlignment="1">
      <alignment horizontal="left"/>
    </xf>
    <xf numFmtId="0" fontId="30" fillId="0" borderId="8" xfId="0" applyFont="1" applyBorder="1" applyAlignment="1">
      <alignment horizontal="center"/>
    </xf>
    <xf numFmtId="0" fontId="0" fillId="4" borderId="29" xfId="0" applyFill="1" applyBorder="1" applyAlignment="1" applyProtection="1">
      <alignment horizontal="left"/>
      <protection locked="0"/>
    </xf>
    <xf numFmtId="0" fontId="20" fillId="4" borderId="19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3" fillId="2" borderId="15" xfId="1" applyBorder="1" applyAlignment="1">
      <alignment horizontal="left"/>
    </xf>
    <xf numFmtId="0" fontId="3" fillId="2" borderId="16" xfId="1" applyBorder="1" applyAlignment="1">
      <alignment horizontal="left"/>
    </xf>
    <xf numFmtId="0" fontId="1" fillId="0" borderId="10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3" fillId="2" borderId="3" xfId="1" applyBorder="1" applyAlignment="1">
      <alignment horizontal="left"/>
    </xf>
    <xf numFmtId="0" fontId="3" fillId="2" borderId="13" xfId="1" applyBorder="1" applyAlignment="1">
      <alignment horizontal="left"/>
    </xf>
    <xf numFmtId="0" fontId="3" fillId="2" borderId="0" xfId="1" applyBorder="1" applyAlignment="1">
      <alignment horizontal="left"/>
    </xf>
    <xf numFmtId="0" fontId="3" fillId="2" borderId="14" xfId="1" applyBorder="1" applyAlignment="1">
      <alignment horizontal="left"/>
    </xf>
  </cellXfs>
  <cellStyles count="4">
    <cellStyle name="Eingabe" xfId="1" builtinId="20"/>
    <cellStyle name="Prozent" xfId="3" builtinId="5"/>
    <cellStyle name="Standard" xfId="0" builtinId="0"/>
    <cellStyle name="Währung" xfId="2" builtinId="4"/>
  </cellStyles>
  <dxfs count="49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000000"/>
      <color rgb="FFC0C0C0"/>
      <color rgb="FFFFCC99"/>
      <color rgb="FF00A249"/>
      <color rgb="FF009900"/>
      <color rgb="FF008A3E"/>
      <color rgb="FF339933"/>
      <color rgb="FFFF9900"/>
      <color rgb="FFCC66FF"/>
      <color rgb="FFB0B7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204F-480E-ABA1-8CC49C753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8109-4402-BAF4-7C5BDF23A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85FC-4585-8D2F-3F18C003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B567-4EA7-911A-4C06540F8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DB9-4E78-80B3-023A2F370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1B5-4D30-80D1-AF5183660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766C-46C3-B165-8C669DB70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25A-4D1A-9409-686D9AC4E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8D57-458A-8588-37EF5009F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62-4097-92A6-7890739A1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E38-45E9-95D4-F0CFE62D4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5EF2-4DC7-928D-2645E231C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6535-4DA4-B39E-4DFC78031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F23-4FBC-8FE0-0155CBD31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8F6B-49FE-8FEF-7B42552DA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46C4-4DCB-99D2-1BEF8D7D3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F4CB-4994-81F4-831FCBA78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601C-47B0-A65F-509E6E6F7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B0D1-4203-8729-7106C573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DAC6-4A15-84E9-958B990D2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3ED4-4086-97EB-11470616D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C2-494F-B618-3E4F53718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182276726411644E-2"/>
          <c:y val="7.1447373946674886E-2"/>
          <c:w val="0.86996759686787939"/>
          <c:h val="0.69182731357669103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7.6475518019983903E-3</c:v>
              </c:pt>
              <c:pt idx="1">
                <c:v>2.138329128467952</c:v>
              </c:pt>
              <c:pt idx="2">
                <c:v>4.2898965056517611</c:v>
              </c:pt>
              <c:pt idx="3">
                <c:v>6.375260289752525</c:v>
              </c:pt>
              <c:pt idx="4">
                <c:v>8.3243247380065188</c:v>
              </c:pt>
              <c:pt idx="5">
                <c:v>10.076340206685162</c:v>
              </c:pt>
              <c:pt idx="6">
                <c:v>11.579903151095062</c:v>
              </c:pt>
              <c:pt idx="7">
                <c:v>12.792956125577973</c:v>
              </c:pt>
              <c:pt idx="8">
                <c:v>13.682787783510818</c:v>
              </c:pt>
              <c:pt idx="9">
                <c:v>14.226032877305698</c:v>
              </c:pt>
              <c:pt idx="10">
                <c:v>14.408672258409844</c:v>
              </c:pt>
              <c:pt idx="11">
                <c:v>14.226032877305695</c:v>
              </c:pt>
              <c:pt idx="12">
                <c:v>13.682787783510818</c:v>
              </c:pt>
              <c:pt idx="13">
                <c:v>12.792956125577973</c:v>
              </c:pt>
              <c:pt idx="14">
                <c:v>11.579903151095063</c:v>
              </c:pt>
              <c:pt idx="15">
                <c:v>10.076340206685162</c:v>
              </c:pt>
              <c:pt idx="16">
                <c:v>8.3243247380065188</c:v>
              </c:pt>
              <c:pt idx="17">
                <c:v>6.375260289752525</c:v>
              </c:pt>
              <c:pt idx="18">
                <c:v>4.2898965056517611</c:v>
              </c:pt>
              <c:pt idx="19">
                <c:v>2.1383291284679515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D2D9-4CF4-8787-411B0AD4D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max"/>
        <c:crossBetween val="midCat"/>
        <c:minorUnit val="100"/>
      </c:valAx>
      <c:valAx>
        <c:axId val="4291969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27264501472767E-2"/>
          <c:y val="0.15937275454694741"/>
          <c:w val="0.86996759686787939"/>
          <c:h val="0.77570080253193174"/>
        </c:manualLayout>
      </c:layout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1"/>
              <c:pt idx="0">
                <c:v>1</c:v>
              </c:pt>
              <c:pt idx="1">
                <c:v>275</c:v>
              </c:pt>
              <c:pt idx="2">
                <c:v>550</c:v>
              </c:pt>
              <c:pt idx="3">
                <c:v>825</c:v>
              </c:pt>
              <c:pt idx="4">
                <c:v>1100</c:v>
              </c:pt>
              <c:pt idx="5">
                <c:v>1375</c:v>
              </c:pt>
              <c:pt idx="6">
                <c:v>1650</c:v>
              </c:pt>
              <c:pt idx="7">
                <c:v>1924.9999999999998</c:v>
              </c:pt>
              <c:pt idx="8">
                <c:v>2200</c:v>
              </c:pt>
              <c:pt idx="9">
                <c:v>2475</c:v>
              </c:pt>
              <c:pt idx="10">
                <c:v>2750</c:v>
              </c:pt>
              <c:pt idx="11">
                <c:v>3025.0000000000005</c:v>
              </c:pt>
              <c:pt idx="12">
                <c:v>3300</c:v>
              </c:pt>
              <c:pt idx="13">
                <c:v>3575</c:v>
              </c:pt>
              <c:pt idx="14">
                <c:v>3849.9999999999995</c:v>
              </c:pt>
              <c:pt idx="15">
                <c:v>4125</c:v>
              </c:pt>
              <c:pt idx="16">
                <c:v>4400</c:v>
              </c:pt>
              <c:pt idx="17">
                <c:v>4675</c:v>
              </c:pt>
              <c:pt idx="18">
                <c:v>4950</c:v>
              </c:pt>
              <c:pt idx="19">
                <c:v>5225</c:v>
              </c:pt>
              <c:pt idx="20">
                <c:v>5500</c:v>
              </c:pt>
            </c:numLit>
          </c:xVal>
          <c:yVal>
            <c:numLit>
              <c:formatCode>General</c:formatCode>
              <c:ptCount val="21"/>
              <c:pt idx="0">
                <c:v>-9.3100009363773963E-3</c:v>
              </c:pt>
              <c:pt idx="1">
                <c:v>-2.5300953994603095</c:v>
              </c:pt>
              <c:pt idx="2">
                <c:v>-4.9511277371332891</c:v>
              </c:pt>
              <c:pt idx="3">
                <c:v>-7.1971656304970191</c:v>
              </c:pt>
              <c:pt idx="4">
                <c:v>-9.2116237960647549</c:v>
              </c:pt>
              <c:pt idx="5">
                <c:v>-10.947263049384897</c:v>
              </c:pt>
              <c:pt idx="6">
                <c:v>-12.366190305041034</c:v>
              </c:pt>
              <c:pt idx="7">
                <c:v>-13.439858576651901</c:v>
              </c:pt>
              <c:pt idx="8">
                <c:v>-14.149066976871403</c:v>
              </c:pt>
              <c:pt idx="9">
                <c:v>-14.483960717388612</c:v>
              </c:pt>
              <c:pt idx="10">
                <c:v>-14.444031108927756</c:v>
              </c:pt>
              <c:pt idx="11">
                <c:v>-14.038115561248244</c:v>
              </c:pt>
              <c:pt idx="12">
                <c:v>-13.284397583144628</c:v>
              </c:pt>
              <c:pt idx="13">
                <c:v>-12.210406782446643</c:v>
              </c:pt>
              <c:pt idx="14">
                <c:v>-10.85301886601918</c:v>
              </c:pt>
              <c:pt idx="15">
                <c:v>-9.2584556397622926</c:v>
              </c:pt>
              <c:pt idx="16">
                <c:v>-7.4822850086112087</c:v>
              </c:pt>
              <c:pt idx="17">
                <c:v>-5.5894209765362985</c:v>
              </c:pt>
              <c:pt idx="18">
                <c:v>-3.6541236465431299</c:v>
              </c:pt>
              <c:pt idx="19">
                <c:v>-1.7599992206724002</c:v>
              </c:pt>
              <c:pt idx="2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FE44-4D58-BA50-7C3EFC760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195952"/>
        <c:axId val="429196936"/>
      </c:scatterChart>
      <c:valAx>
        <c:axId val="42919595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6936"/>
        <c:crosses val="autoZero"/>
        <c:crossBetween val="midCat"/>
        <c:minorUnit val="100"/>
      </c:valAx>
      <c:valAx>
        <c:axId val="42919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9195952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3.xml"/><Relationship Id="rId7" Type="http://schemas.openxmlformats.org/officeDocument/2006/relationships/image" Target="../media/image8.png"/><Relationship Id="rId12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5.xml"/><Relationship Id="rId7" Type="http://schemas.openxmlformats.org/officeDocument/2006/relationships/image" Target="../media/image8.png"/><Relationship Id="rId12" Type="http://schemas.openxmlformats.org/officeDocument/2006/relationships/chart" Target="../charts/chart16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7.xml"/><Relationship Id="rId7" Type="http://schemas.openxmlformats.org/officeDocument/2006/relationships/image" Target="../media/image8.png"/><Relationship Id="rId12" Type="http://schemas.openxmlformats.org/officeDocument/2006/relationships/chart" Target="../charts/chart18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9.xml"/><Relationship Id="rId7" Type="http://schemas.openxmlformats.org/officeDocument/2006/relationships/image" Target="../media/image8.png"/><Relationship Id="rId12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21.xml"/><Relationship Id="rId7" Type="http://schemas.openxmlformats.org/officeDocument/2006/relationships/image" Target="../media/image8.png"/><Relationship Id="rId12" Type="http://schemas.openxmlformats.org/officeDocument/2006/relationships/chart" Target="../charts/chart22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23.xml"/><Relationship Id="rId7" Type="http://schemas.openxmlformats.org/officeDocument/2006/relationships/image" Target="../media/image8.png"/><Relationship Id="rId12" Type="http://schemas.openxmlformats.org/officeDocument/2006/relationships/chart" Target="../charts/chart24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.xml"/><Relationship Id="rId7" Type="http://schemas.openxmlformats.org/officeDocument/2006/relationships/image" Target="../media/image8.png"/><Relationship Id="rId12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3.xml"/><Relationship Id="rId7" Type="http://schemas.openxmlformats.org/officeDocument/2006/relationships/image" Target="../media/image8.png"/><Relationship Id="rId12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5.xml"/><Relationship Id="rId7" Type="http://schemas.openxmlformats.org/officeDocument/2006/relationships/image" Target="../media/image8.png"/><Relationship Id="rId12" Type="http://schemas.openxmlformats.org/officeDocument/2006/relationships/chart" Target="../charts/chart6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7.xml"/><Relationship Id="rId7" Type="http://schemas.openxmlformats.org/officeDocument/2006/relationships/image" Target="../media/image8.png"/><Relationship Id="rId12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9.xml"/><Relationship Id="rId7" Type="http://schemas.openxmlformats.org/officeDocument/2006/relationships/image" Target="../media/image8.png"/><Relationship Id="rId12" Type="http://schemas.openxmlformats.org/officeDocument/2006/relationships/chart" Target="../charts/chart10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chart" Target="../charts/chart11.xml"/><Relationship Id="rId7" Type="http://schemas.openxmlformats.org/officeDocument/2006/relationships/image" Target="../media/image8.png"/><Relationship Id="rId12" Type="http://schemas.openxmlformats.org/officeDocument/2006/relationships/chart" Target="../charts/chart12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57150</xdr:colOff>
      <xdr:row>3</xdr:row>
      <xdr:rowOff>180975</xdr:rowOff>
    </xdr:from>
    <xdr:to>
      <xdr:col>30</xdr:col>
      <xdr:colOff>342900</xdr:colOff>
      <xdr:row>3</xdr:row>
      <xdr:rowOff>182880</xdr:rowOff>
    </xdr:to>
    <xdr:sp macro="" textlink="">
      <xdr:nvSpPr>
        <xdr:cNvPr id="1026" name="Drop Down 2" hidden="1">
          <a:extLst>
            <a:ext uri="{63B3BB69-23CF-44E3-9099-C40C66FF867C}">
              <a14:compatExt xmlns:a14="http://schemas.microsoft.com/office/drawing/2010/main" spid="_x0000_s1026"/>
            </a:ex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39687</xdr:colOff>
      <xdr:row>2</xdr:row>
      <xdr:rowOff>27870</xdr:rowOff>
    </xdr:from>
    <xdr:to>
      <xdr:col>14</xdr:col>
      <xdr:colOff>381000</xdr:colOff>
      <xdr:row>3</xdr:row>
      <xdr:rowOff>208915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17C33C0-868D-4541-8310-E75F599D0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5" y="138995"/>
          <a:ext cx="2603500" cy="44838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31750</xdr:rowOff>
    </xdr:from>
    <xdr:to>
      <xdr:col>10</xdr:col>
      <xdr:colOff>1</xdr:colOff>
      <xdr:row>26</xdr:row>
      <xdr:rowOff>7939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20C7D3CE-B493-40C1-B108-CFE17E8970D6}"/>
            </a:ext>
          </a:extLst>
        </xdr:cNvPr>
        <xdr:cNvGrpSpPr/>
      </xdr:nvGrpSpPr>
      <xdr:grpSpPr>
        <a:xfrm>
          <a:off x="103188" y="722313"/>
          <a:ext cx="6627813" cy="3810001"/>
          <a:chOff x="307181" y="666751"/>
          <a:chExt cx="6759178" cy="3962400"/>
        </a:xfrm>
      </xdr:grpSpPr>
      <xdr:grpSp>
        <xdr:nvGrpSpPr>
          <xdr:cNvPr id="6" name="Gruppieren 5">
            <a:extLst>
              <a:ext uri="{FF2B5EF4-FFF2-40B4-BE49-F238E27FC236}">
                <a16:creationId xmlns:a16="http://schemas.microsoft.com/office/drawing/2014/main" id="{26F6B005-691B-46BD-AC05-23BCA1B0F7D4}"/>
              </a:ext>
            </a:extLst>
          </xdr:cNvPr>
          <xdr:cNvGrpSpPr/>
        </xdr:nvGrpSpPr>
        <xdr:grpSpPr>
          <a:xfrm>
            <a:off x="307181" y="666751"/>
            <a:ext cx="6759178" cy="3962400"/>
            <a:chOff x="225285" y="687656"/>
            <a:chExt cx="7049638" cy="4247339"/>
          </a:xfrm>
        </xdr:grpSpPr>
        <xdr:pic>
          <xdr:nvPicPr>
            <xdr:cNvPr id="18" name="Grafik 17">
              <a:extLst>
                <a:ext uri="{FF2B5EF4-FFF2-40B4-BE49-F238E27FC236}">
                  <a16:creationId xmlns:a16="http://schemas.microsoft.com/office/drawing/2014/main" id="{8C18CB30-9F91-4C1D-B2EC-AC33CE93EF7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25285" y="687656"/>
              <a:ext cx="7049638" cy="424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19" name="Gerade Verbindung mit Pfeil 18">
              <a:extLst>
                <a:ext uri="{FF2B5EF4-FFF2-40B4-BE49-F238E27FC236}">
                  <a16:creationId xmlns:a16="http://schemas.microsoft.com/office/drawing/2014/main" id="{11D5FA0D-B104-4EF2-B6CE-CB00C9BE4EE1}"/>
                </a:ext>
              </a:extLst>
            </xdr:cNvPr>
            <xdr:cNvCxnSpPr/>
          </xdr:nvCxnSpPr>
          <xdr:spPr>
            <a:xfrm>
              <a:off x="988713" y="1773110"/>
              <a:ext cx="165174" cy="1864604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0" name="Gerade Verbindung mit Pfeil 19">
              <a:extLst>
                <a:ext uri="{FF2B5EF4-FFF2-40B4-BE49-F238E27FC236}">
                  <a16:creationId xmlns:a16="http://schemas.microsoft.com/office/drawing/2014/main" id="{79D5E981-496E-4451-954D-DAE2D898F7A1}"/>
                </a:ext>
              </a:extLst>
            </xdr:cNvPr>
            <xdr:cNvCxnSpPr/>
          </xdr:nvCxnSpPr>
          <xdr:spPr>
            <a:xfrm flipH="1" flipV="1">
              <a:off x="1227155" y="3681674"/>
              <a:ext cx="2061797" cy="1134626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1" name="Gerade Verbindung mit Pfeil 20">
              <a:extLst>
                <a:ext uri="{FF2B5EF4-FFF2-40B4-BE49-F238E27FC236}">
                  <a16:creationId xmlns:a16="http://schemas.microsoft.com/office/drawing/2014/main" id="{205551B5-0ABE-4611-BFBA-16555A299503}"/>
                </a:ext>
              </a:extLst>
            </xdr:cNvPr>
            <xdr:cNvCxnSpPr/>
          </xdr:nvCxnSpPr>
          <xdr:spPr>
            <a:xfrm>
              <a:off x="3149740" y="2898530"/>
              <a:ext cx="7327" cy="1800539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2" name="Gerade Verbindung mit Pfeil 21">
              <a:extLst>
                <a:ext uri="{FF2B5EF4-FFF2-40B4-BE49-F238E27FC236}">
                  <a16:creationId xmlns:a16="http://schemas.microsoft.com/office/drawing/2014/main" id="{77B7637F-463E-45C0-AC8B-09489B92FC61}"/>
                </a:ext>
              </a:extLst>
            </xdr:cNvPr>
            <xdr:cNvCxnSpPr/>
          </xdr:nvCxnSpPr>
          <xdr:spPr>
            <a:xfrm flipH="1">
              <a:off x="3570933" y="3484056"/>
              <a:ext cx="3305700" cy="1434611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3" name="Gerade Verbindung mit Pfeil 22">
              <a:extLst>
                <a:ext uri="{FF2B5EF4-FFF2-40B4-BE49-F238E27FC236}">
                  <a16:creationId xmlns:a16="http://schemas.microsoft.com/office/drawing/2014/main" id="{1CA2A81A-2047-4110-A72D-A1544233CEC8}"/>
                </a:ext>
              </a:extLst>
            </xdr:cNvPr>
            <xdr:cNvCxnSpPr/>
          </xdr:nvCxnSpPr>
          <xdr:spPr>
            <a:xfrm flipH="1">
              <a:off x="5504887" y="3603171"/>
              <a:ext cx="547570" cy="244365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4" name="Gerade Verbindung mit Pfeil 23">
              <a:extLst>
                <a:ext uri="{FF2B5EF4-FFF2-40B4-BE49-F238E27FC236}">
                  <a16:creationId xmlns:a16="http://schemas.microsoft.com/office/drawing/2014/main" id="{CE771B94-9861-4801-9201-20344C416A28}"/>
                </a:ext>
              </a:extLst>
            </xdr:cNvPr>
            <xdr:cNvCxnSpPr/>
          </xdr:nvCxnSpPr>
          <xdr:spPr>
            <a:xfrm flipH="1">
              <a:off x="366031" y="1643743"/>
              <a:ext cx="673554" cy="96611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5" name="Gerade Verbindung mit Pfeil 24">
              <a:extLst>
                <a:ext uri="{FF2B5EF4-FFF2-40B4-BE49-F238E27FC236}">
                  <a16:creationId xmlns:a16="http://schemas.microsoft.com/office/drawing/2014/main" id="{7F7D8CC7-4997-4C45-BDF1-9EDBC7D87F75}"/>
                </a:ext>
              </a:extLst>
            </xdr:cNvPr>
            <xdr:cNvCxnSpPr/>
          </xdr:nvCxnSpPr>
          <xdr:spPr>
            <a:xfrm flipH="1">
              <a:off x="6103602" y="3336471"/>
              <a:ext cx="542127" cy="244365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6" name="Gerade Verbindung mit Pfeil 25">
              <a:extLst>
                <a:ext uri="{FF2B5EF4-FFF2-40B4-BE49-F238E27FC236}">
                  <a16:creationId xmlns:a16="http://schemas.microsoft.com/office/drawing/2014/main" id="{3B48E030-E9D2-40E8-96FB-493142785372}"/>
                </a:ext>
              </a:extLst>
            </xdr:cNvPr>
            <xdr:cNvCxnSpPr/>
          </xdr:nvCxnSpPr>
          <xdr:spPr>
            <a:xfrm flipH="1">
              <a:off x="4700401" y="3954458"/>
              <a:ext cx="536684" cy="249807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7" name="Gerade Verbindung mit Pfeil 26">
              <a:extLst>
                <a:ext uri="{FF2B5EF4-FFF2-40B4-BE49-F238E27FC236}">
                  <a16:creationId xmlns:a16="http://schemas.microsoft.com/office/drawing/2014/main" id="{0C292AD5-A467-40D8-91A0-1E74BB32347F}"/>
                </a:ext>
              </a:extLst>
            </xdr:cNvPr>
            <xdr:cNvCxnSpPr/>
          </xdr:nvCxnSpPr>
          <xdr:spPr>
            <a:xfrm flipH="1">
              <a:off x="3494315" y="4474029"/>
              <a:ext cx="536684" cy="249807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8" name="Gerade Verbindung mit Pfeil 27">
              <a:extLst>
                <a:ext uri="{FF2B5EF4-FFF2-40B4-BE49-F238E27FC236}">
                  <a16:creationId xmlns:a16="http://schemas.microsoft.com/office/drawing/2014/main" id="{DFD92906-C379-4498-99B2-2AFE73BA19B6}"/>
                </a:ext>
              </a:extLst>
            </xdr:cNvPr>
            <xdr:cNvCxnSpPr/>
          </xdr:nvCxnSpPr>
          <xdr:spPr>
            <a:xfrm flipH="1">
              <a:off x="1513114" y="3333393"/>
              <a:ext cx="578003" cy="252886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cxnSp macro="">
          <xdr:nvCxnSpPr>
            <xdr:cNvPr id="29" name="Gerade Verbindung mit Pfeil 28">
              <a:extLst>
                <a:ext uri="{FF2B5EF4-FFF2-40B4-BE49-F238E27FC236}">
                  <a16:creationId xmlns:a16="http://schemas.microsoft.com/office/drawing/2014/main" id="{5C163989-62FB-471F-B625-20218D7DED6E}"/>
                </a:ext>
              </a:extLst>
            </xdr:cNvPr>
            <xdr:cNvCxnSpPr/>
          </xdr:nvCxnSpPr>
          <xdr:spPr>
            <a:xfrm>
              <a:off x="4091846" y="2597676"/>
              <a:ext cx="644415" cy="244929"/>
            </a:xfrm>
            <a:prstGeom prst="straightConnector1">
              <a:avLst/>
            </a:prstGeom>
            <a:ln>
              <a:headEnd type="triangle"/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sp macro="" textlink="">
        <xdr:nvSpPr>
          <xdr:cNvPr id="7" name="Textfeld 6">
            <a:extLst>
              <a:ext uri="{FF2B5EF4-FFF2-40B4-BE49-F238E27FC236}">
                <a16:creationId xmlns:a16="http://schemas.microsoft.com/office/drawing/2014/main" id="{475B57D8-3E21-4688-AB41-B67E78D53F56}"/>
              </a:ext>
            </a:extLst>
          </xdr:cNvPr>
          <xdr:cNvSpPr txBox="1"/>
        </xdr:nvSpPr>
        <xdr:spPr>
          <a:xfrm rot="21107756">
            <a:off x="508566" y="1418033"/>
            <a:ext cx="500737" cy="182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Bw</a:t>
            </a:r>
          </a:p>
        </xdr:txBody>
      </xdr:sp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7B5445BB-50BC-4BDB-B7E1-8C223B098F2E}"/>
              </a:ext>
            </a:extLst>
          </xdr:cNvPr>
          <xdr:cNvSpPr txBox="1"/>
        </xdr:nvSpPr>
        <xdr:spPr>
          <a:xfrm rot="20179074">
            <a:off x="1490238" y="3039629"/>
            <a:ext cx="560119" cy="182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WP1</a:t>
            </a:r>
          </a:p>
        </xdr:txBody>
      </xdr:sp>
      <xdr:sp macro="" textlink="">
        <xdr:nvSpPr>
          <xdr:cNvPr id="9" name="Textfeld 8">
            <a:extLst>
              <a:ext uri="{FF2B5EF4-FFF2-40B4-BE49-F238E27FC236}">
                <a16:creationId xmlns:a16="http://schemas.microsoft.com/office/drawing/2014/main" id="{75D4BF26-3EED-4E73-823E-E1C0EC464132}"/>
              </a:ext>
            </a:extLst>
          </xdr:cNvPr>
          <xdr:cNvSpPr txBox="1"/>
        </xdr:nvSpPr>
        <xdr:spPr>
          <a:xfrm rot="15878259">
            <a:off x="214211" y="2458510"/>
            <a:ext cx="1583161" cy="18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UKW</a:t>
            </a:r>
          </a:p>
        </xdr:txBody>
      </xdr:sp>
      <xdr:sp macro="" textlink="">
        <xdr:nvSpPr>
          <xdr:cNvPr id="10" name="Textfeld 9">
            <a:extLst>
              <a:ext uri="{FF2B5EF4-FFF2-40B4-BE49-F238E27FC236}">
                <a16:creationId xmlns:a16="http://schemas.microsoft.com/office/drawing/2014/main" id="{9BDE123A-DB9C-4763-84DA-FFF648C969B8}"/>
              </a:ext>
            </a:extLst>
          </xdr:cNvPr>
          <xdr:cNvSpPr txBox="1"/>
        </xdr:nvSpPr>
        <xdr:spPr>
          <a:xfrm rot="1731482">
            <a:off x="1244827" y="3813691"/>
            <a:ext cx="2114917" cy="1848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T1</a:t>
            </a:r>
          </a:p>
        </xdr:txBody>
      </xdr:sp>
      <xdr:sp macro="" textlink="">
        <xdr:nvSpPr>
          <xdr:cNvPr id="11" name="Textfeld 10">
            <a:extLst>
              <a:ext uri="{FF2B5EF4-FFF2-40B4-BE49-F238E27FC236}">
                <a16:creationId xmlns:a16="http://schemas.microsoft.com/office/drawing/2014/main" id="{C3B17610-1659-4725-A858-D4B284FD62C6}"/>
              </a:ext>
            </a:extLst>
          </xdr:cNvPr>
          <xdr:cNvSpPr txBox="1"/>
        </xdr:nvSpPr>
        <xdr:spPr>
          <a:xfrm rot="16200000">
            <a:off x="2252742" y="3474868"/>
            <a:ext cx="1533275" cy="18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UKT</a:t>
            </a:r>
          </a:p>
        </xdr:txBody>
      </xdr:sp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53977156-AC3E-4D3C-BF3C-28CF8C02C4CC}"/>
              </a:ext>
            </a:extLst>
          </xdr:cNvPr>
          <xdr:cNvSpPr txBox="1"/>
        </xdr:nvSpPr>
        <xdr:spPr>
          <a:xfrm rot="1227440">
            <a:off x="4108029" y="2560393"/>
            <a:ext cx="502659" cy="183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T2</a:t>
            </a:r>
          </a:p>
        </xdr:txBody>
      </xdr:sp>
      <xdr:sp macro="" textlink="">
        <xdr:nvSpPr>
          <xdr:cNvPr id="13" name="Textfeld 12">
            <a:extLst>
              <a:ext uri="{FF2B5EF4-FFF2-40B4-BE49-F238E27FC236}">
                <a16:creationId xmlns:a16="http://schemas.microsoft.com/office/drawing/2014/main" id="{F5BC5FB8-2F1E-4D82-A3F6-DDB847E5705B}"/>
              </a:ext>
            </a:extLst>
          </xdr:cNvPr>
          <xdr:cNvSpPr txBox="1"/>
        </xdr:nvSpPr>
        <xdr:spPr>
          <a:xfrm rot="20153402">
            <a:off x="5943683" y="3069377"/>
            <a:ext cx="480536" cy="2348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EP2</a:t>
            </a:r>
          </a:p>
        </xdr:txBody>
      </xdr:sp>
      <xdr:sp macro="" textlink="">
        <xdr:nvSpPr>
          <xdr:cNvPr id="14" name="Textfeld 13">
            <a:extLst>
              <a:ext uri="{FF2B5EF4-FFF2-40B4-BE49-F238E27FC236}">
                <a16:creationId xmlns:a16="http://schemas.microsoft.com/office/drawing/2014/main" id="{6010DDEF-596F-45F8-A433-AE3E4D56CBDA}"/>
              </a:ext>
            </a:extLst>
          </xdr:cNvPr>
          <xdr:cNvSpPr txBox="1"/>
        </xdr:nvSpPr>
        <xdr:spPr>
          <a:xfrm rot="20167606">
            <a:off x="5388011" y="3316420"/>
            <a:ext cx="421197" cy="182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M0</a:t>
            </a:r>
          </a:p>
        </xdr:txBody>
      </xdr:sp>
      <xdr:sp macro="" textlink="">
        <xdr:nvSpPr>
          <xdr:cNvPr id="15" name="Textfeld 14">
            <a:extLst>
              <a:ext uri="{FF2B5EF4-FFF2-40B4-BE49-F238E27FC236}">
                <a16:creationId xmlns:a16="http://schemas.microsoft.com/office/drawing/2014/main" id="{A55DA057-6477-40CF-8298-A9FD178922A6}"/>
              </a:ext>
            </a:extLst>
          </xdr:cNvPr>
          <xdr:cNvSpPr txBox="1"/>
        </xdr:nvSpPr>
        <xdr:spPr>
          <a:xfrm rot="20116400">
            <a:off x="4596883" y="3653339"/>
            <a:ext cx="423658" cy="1822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M0</a:t>
            </a:r>
          </a:p>
        </xdr:txBody>
      </xdr:sp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61B024EE-B16E-461B-93D2-DCB82454E608}"/>
              </a:ext>
            </a:extLst>
          </xdr:cNvPr>
          <xdr:cNvSpPr txBox="1"/>
        </xdr:nvSpPr>
        <xdr:spPr>
          <a:xfrm rot="20109936">
            <a:off x="3416174" y="4131309"/>
            <a:ext cx="510874" cy="1719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EP1</a:t>
            </a:r>
          </a:p>
        </xdr:txBody>
      </xdr:sp>
      <xdr:sp macro="" textlink="">
        <xdr:nvSpPr>
          <xdr:cNvPr id="17" name="Textfeld 16">
            <a:extLst>
              <a:ext uri="{FF2B5EF4-FFF2-40B4-BE49-F238E27FC236}">
                <a16:creationId xmlns:a16="http://schemas.microsoft.com/office/drawing/2014/main" id="{3A460EB7-CEB8-42B1-B495-63B31F09AF4E}"/>
              </a:ext>
            </a:extLst>
          </xdr:cNvPr>
          <xdr:cNvSpPr txBox="1"/>
        </xdr:nvSpPr>
        <xdr:spPr>
          <a:xfrm rot="20197079">
            <a:off x="3514517" y="3968073"/>
            <a:ext cx="3298802" cy="18222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ctr"/>
            <a:r>
              <a:rPr lang="de-CH" sz="1100" b="0">
                <a:latin typeface="Arial" panose="020B0604020202020204" pitchFamily="34" charset="0"/>
                <a:cs typeface="Arial" panose="020B0604020202020204" pitchFamily="34" charset="0"/>
              </a:rPr>
              <a:t>B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56</xdr:row>
      <xdr:rowOff>64298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57</xdr:row>
      <xdr:rowOff>150023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4413230" y="4070985"/>
          <a:ext cx="6788606" cy="758017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98955" y="2927985"/>
          <a:ext cx="6550510" cy="914598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9096375" y="674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75130" y="5960745"/>
          <a:ext cx="6187440" cy="4887758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29081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51330" y="10218421"/>
          <a:ext cx="6168390" cy="141211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250678</xdr:colOff>
      <xdr:row>35</xdr:row>
      <xdr:rowOff>13259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72310" y="5775960"/>
          <a:ext cx="6500983" cy="55808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207658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89430" y="4693920"/>
          <a:ext cx="6674320" cy="1434478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89475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07400" y="5785485"/>
          <a:ext cx="12381009" cy="434280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88350" y="4693920"/>
          <a:ext cx="12209581" cy="1391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93048</xdr:colOff>
      <xdr:row>13</xdr:row>
      <xdr:rowOff>22808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58635"/>
          <a:ext cx="2876253" cy="2144508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559031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18806" y="625186"/>
          <a:ext cx="3077095" cy="2161925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4413230" y="4070985"/>
          <a:ext cx="6788606" cy="758017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98955" y="2927985"/>
          <a:ext cx="6550510" cy="914598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 txBox="1"/>
      </xdr:nvSpPr>
      <xdr:spPr>
        <a:xfrm>
          <a:off x="9096375" y="674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375130" y="5960745"/>
          <a:ext cx="6187440" cy="4887758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29081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51330" y="10218421"/>
          <a:ext cx="6168390" cy="141211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250678</xdr:colOff>
      <xdr:row>35</xdr:row>
      <xdr:rowOff>13259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72310" y="5775960"/>
          <a:ext cx="6500983" cy="55808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207658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489430" y="4693920"/>
          <a:ext cx="6674320" cy="1434478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89475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107400" y="5785485"/>
          <a:ext cx="12381009" cy="434280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088350" y="4693920"/>
          <a:ext cx="12209581" cy="13911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93048</xdr:colOff>
      <xdr:row>13</xdr:row>
      <xdr:rowOff>22808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58635"/>
          <a:ext cx="2876253" cy="2144508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559031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18806" y="625186"/>
          <a:ext cx="3077095" cy="2161925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0</xdr:row>
      <xdr:rowOff>0</xdr:rowOff>
    </xdr:to>
    <xdr:sp macro="" textlink="">
      <xdr:nvSpPr>
        <xdr:cNvPr id="13313" name="Drop Down 1" hidden="1">
          <a:extLst>
            <a:ext uri="{63B3BB69-23CF-44E3-9099-C40C66FF867C}">
              <a14:compatExt xmlns:a14="http://schemas.microsoft.com/office/drawing/2010/main" spid="_x0000_s13313"/>
            </a:ex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0</xdr:row>
      <xdr:rowOff>0</xdr:rowOff>
    </xdr:to>
    <xdr:sp macro="" textlink="">
      <xdr:nvSpPr>
        <xdr:cNvPr id="27649" name="Drop Down 1" hidden="1">
          <a:extLst>
            <a:ext uri="{63B3BB69-23CF-44E3-9099-C40C66FF867C}">
              <a14:compatExt xmlns:a14="http://schemas.microsoft.com/office/drawing/2010/main" spid="_x0000_s27649"/>
            </a:ext>
            <a:ext uri="{FF2B5EF4-FFF2-40B4-BE49-F238E27FC236}">
              <a16:creationId xmlns:a16="http://schemas.microsoft.com/office/drawing/2014/main" id="{00000000-0008-0000-0600-0000016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810625" y="831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708660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26777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448425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457950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57150</xdr:colOff>
      <xdr:row>13</xdr:row>
      <xdr:rowOff>5037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52725" cy="2141977"/>
        </a:xfrm>
        <a:prstGeom prst="rect">
          <a:avLst/>
        </a:prstGeom>
      </xdr:spPr>
    </xdr:pic>
    <xdr:clientData/>
  </xdr:twoCellAnchor>
  <xdr:twoCellAnchor editAs="oneCell">
    <xdr:from>
      <xdr:col>3</xdr:col>
      <xdr:colOff>25112</xdr:colOff>
      <xdr:row>2</xdr:row>
      <xdr:rowOff>120361</xdr:rowOff>
    </xdr:from>
    <xdr:to>
      <xdr:col>5</xdr:col>
      <xdr:colOff>626961</xdr:colOff>
      <xdr:row>12</xdr:row>
      <xdr:rowOff>114300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20687" y="625186"/>
          <a:ext cx="2744974" cy="1994189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60</xdr:row>
      <xdr:rowOff>16673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6</xdr:col>
      <xdr:colOff>124691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628650</xdr:colOff>
      <xdr:row>19</xdr:row>
      <xdr:rowOff>161925</xdr:rowOff>
    </xdr:from>
    <xdr:to>
      <xdr:col>24</xdr:col>
      <xdr:colOff>284936</xdr:colOff>
      <xdr:row>23</xdr:row>
      <xdr:rowOff>135082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3625"/>
        <a:stretch/>
      </xdr:blipFill>
      <xdr:spPr>
        <a:xfrm>
          <a:off x="13954125" y="4152900"/>
          <a:ext cx="6514286" cy="858982"/>
        </a:xfrm>
        <a:prstGeom prst="rect">
          <a:avLst/>
        </a:prstGeom>
      </xdr:spPr>
    </xdr:pic>
    <xdr:clientData/>
  </xdr:twoCellAnchor>
  <xdr:twoCellAnchor editAs="oneCell">
    <xdr:from>
      <xdr:col>15</xdr:col>
      <xdr:colOff>714375</xdr:colOff>
      <xdr:row>14</xdr:row>
      <xdr:rowOff>47625</xdr:rowOff>
    </xdr:from>
    <xdr:to>
      <xdr:col>24</xdr:col>
      <xdr:colOff>132565</xdr:colOff>
      <xdr:row>18</xdr:row>
      <xdr:rowOff>169743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2962275"/>
          <a:ext cx="6276190" cy="950793"/>
        </a:xfrm>
        <a:prstGeom prst="rect">
          <a:avLst/>
        </a:prstGeom>
      </xdr:spPr>
    </xdr:pic>
    <xdr:clientData/>
  </xdr:twoCellAnchor>
  <xdr:oneCellAnchor>
    <xdr:from>
      <xdr:col>9</xdr:col>
      <xdr:colOff>142875</xdr:colOff>
      <xdr:row>38</xdr:row>
      <xdr:rowOff>180975</xdr:rowOff>
    </xdr:from>
    <xdr:ext cx="65" cy="172227"/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810625" y="7086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de-CH" sz="1100"/>
        </a:p>
      </xdr:txBody>
    </xdr:sp>
    <xdr:clientData/>
  </xdr:oneCellAnchor>
  <xdr:twoCellAnchor>
    <xdr:from>
      <xdr:col>6</xdr:col>
      <xdr:colOff>354013</xdr:colOff>
      <xdr:row>55</xdr:row>
      <xdr:rowOff>198437</xdr:rowOff>
    </xdr:from>
    <xdr:to>
      <xdr:col>12</xdr:col>
      <xdr:colOff>539750</xdr:colOff>
      <xdr:row>60</xdr:row>
      <xdr:rowOff>87312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15</xdr:col>
      <xdr:colOff>590550</xdr:colOff>
      <xdr:row>33</xdr:row>
      <xdr:rowOff>47625</xdr:rowOff>
    </xdr:from>
    <xdr:to>
      <xdr:col>23</xdr:col>
      <xdr:colOff>438150</xdr:colOff>
      <xdr:row>61</xdr:row>
      <xdr:rowOff>35723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16025" y="6229350"/>
          <a:ext cx="5943600" cy="5407823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666750</xdr:colOff>
      <xdr:row>58</xdr:row>
      <xdr:rowOff>1</xdr:rowOff>
    </xdr:from>
    <xdr:to>
      <xdr:col>23</xdr:col>
      <xdr:colOff>495300</xdr:colOff>
      <xdr:row>65</xdr:row>
      <xdr:rowOff>32891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992225" y="10963276"/>
          <a:ext cx="5924550" cy="153784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30</xdr:row>
      <xdr:rowOff>76200</xdr:rowOff>
    </xdr:from>
    <xdr:to>
      <xdr:col>24</xdr:col>
      <xdr:colOff>256393</xdr:colOff>
      <xdr:row>35</xdr:row>
      <xdr:rowOff>9449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182725" y="6019800"/>
          <a:ext cx="6257143" cy="619049"/>
        </a:xfrm>
        <a:prstGeom prst="rect">
          <a:avLst/>
        </a:prstGeom>
      </xdr:spPr>
    </xdr:pic>
    <xdr:clientData/>
  </xdr:twoCellAnchor>
  <xdr:twoCellAnchor editAs="oneCell">
    <xdr:from>
      <xdr:col>15</xdr:col>
      <xdr:colOff>704850</xdr:colOff>
      <xdr:row>23</xdr:row>
      <xdr:rowOff>0</xdr:rowOff>
    </xdr:from>
    <xdr:to>
      <xdr:col>24</xdr:col>
      <xdr:colOff>246850</xdr:colOff>
      <xdr:row>33</xdr:row>
      <xdr:rowOff>215278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30325" y="4876800"/>
          <a:ext cx="6400000" cy="1520203"/>
        </a:xfrm>
        <a:prstGeom prst="rect">
          <a:avLst/>
        </a:prstGeom>
      </xdr:spPr>
    </xdr:pic>
    <xdr:clientData/>
  </xdr:twoCellAnchor>
  <xdr:twoCellAnchor editAs="oneCell">
    <xdr:from>
      <xdr:col>24</xdr:col>
      <xdr:colOff>190500</xdr:colOff>
      <xdr:row>30</xdr:row>
      <xdr:rowOff>85725</xdr:rowOff>
    </xdr:from>
    <xdr:to>
      <xdr:col>39</xdr:col>
      <xdr:colOff>684309</xdr:colOff>
      <xdr:row>34</xdr:row>
      <xdr:rowOff>85665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73975" y="6029325"/>
          <a:ext cx="11923809" cy="485715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23</xdr:row>
      <xdr:rowOff>0</xdr:rowOff>
    </xdr:from>
    <xdr:to>
      <xdr:col>39</xdr:col>
      <xdr:colOff>493831</xdr:colOff>
      <xdr:row>33</xdr:row>
      <xdr:rowOff>171987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54925" y="4876800"/>
          <a:ext cx="11752381" cy="147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63335</xdr:rowOff>
    </xdr:from>
    <xdr:to>
      <xdr:col>3</xdr:col>
      <xdr:colOff>87333</xdr:colOff>
      <xdr:row>13</xdr:row>
      <xdr:rowOff>28523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68160"/>
          <a:ext cx="2782908" cy="2165463"/>
        </a:xfrm>
        <a:prstGeom prst="rect">
          <a:avLst/>
        </a:prstGeom>
      </xdr:spPr>
    </xdr:pic>
    <xdr:clientData/>
  </xdr:twoCellAnchor>
  <xdr:twoCellAnchor editAs="oneCell">
    <xdr:from>
      <xdr:col>3</xdr:col>
      <xdr:colOff>129886</xdr:colOff>
      <xdr:row>2</xdr:row>
      <xdr:rowOff>129886</xdr:rowOff>
    </xdr:from>
    <xdr:to>
      <xdr:col>5</xdr:col>
      <xdr:colOff>562841</xdr:colOff>
      <xdr:row>13</xdr:row>
      <xdr:rowOff>112491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25461" y="634711"/>
          <a:ext cx="3004705" cy="2182880"/>
        </a:xfrm>
        <a:prstGeom prst="rect">
          <a:avLst/>
        </a:prstGeom>
      </xdr:spPr>
    </xdr:pic>
    <xdr:clientData/>
  </xdr:twoCellAnchor>
  <xdr:twoCellAnchor>
    <xdr:from>
      <xdr:col>6</xdr:col>
      <xdr:colOff>230187</xdr:colOff>
      <xdr:row>67</xdr:row>
      <xdr:rowOff>142875</xdr:rowOff>
    </xdr:from>
    <xdr:to>
      <xdr:col>12</xdr:col>
      <xdr:colOff>415924</xdr:colOff>
      <xdr:row>72</xdr:row>
      <xdr:rowOff>31750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A79CC-C021-4867-8A27-5AFB2978BEBC}">
  <sheetPr codeName="Tabelle1"/>
  <dimension ref="B1:AK108"/>
  <sheetViews>
    <sheetView tabSelected="1" zoomScale="120" zoomScaleNormal="120" workbookViewId="0">
      <selection activeCell="N26" sqref="N26"/>
    </sheetView>
  </sheetViews>
  <sheetFormatPr baseColWidth="10" defaultColWidth="11.42578125" defaultRowHeight="15" x14ac:dyDescent="0.25"/>
  <cols>
    <col min="1" max="1" width="1.5703125" customWidth="1"/>
    <col min="2" max="2" width="15.5703125" customWidth="1"/>
    <col min="3" max="3" width="8.42578125" customWidth="1"/>
    <col min="4" max="4" width="10.140625" customWidth="1"/>
    <col min="5" max="5" width="18.85546875" customWidth="1"/>
    <col min="6" max="6" width="2.5703125" customWidth="1"/>
    <col min="7" max="7" width="11.5703125" customWidth="1"/>
    <col min="8" max="8" width="11.7109375" customWidth="1"/>
    <col min="9" max="9" width="6.5703125" customWidth="1"/>
    <col min="10" max="10" width="14" customWidth="1"/>
    <col min="11" max="11" width="2" customWidth="1"/>
    <col min="12" max="12" width="17.7109375" customWidth="1"/>
    <col min="13" max="13" width="8.85546875" customWidth="1"/>
    <col min="14" max="14" width="7.42578125" customWidth="1"/>
    <col min="15" max="15" width="6.140625" customWidth="1"/>
    <col min="16" max="16" width="12.140625" customWidth="1"/>
    <col min="17" max="17" width="15.28515625" customWidth="1"/>
    <col min="18" max="18" width="9.85546875" customWidth="1"/>
    <col min="19" max="19" width="10" customWidth="1"/>
    <col min="20" max="20" width="12.7109375" customWidth="1"/>
    <col min="21" max="28" width="10" customWidth="1"/>
    <col min="29" max="29" width="9.5703125" customWidth="1"/>
    <col min="30" max="30" width="2" customWidth="1"/>
    <col min="31" max="32" width="10.7109375" customWidth="1"/>
    <col min="33" max="33" width="7.85546875" hidden="1" customWidth="1"/>
    <col min="34" max="35" width="10.7109375" hidden="1" customWidth="1"/>
    <col min="36" max="36" width="7.5703125" hidden="1" customWidth="1"/>
    <col min="37" max="37" width="12.42578125" hidden="1" customWidth="1"/>
    <col min="38" max="38" width="12.42578125" customWidth="1"/>
  </cols>
  <sheetData>
    <row r="1" spans="2:36" ht="4.5" customHeight="1" thickBot="1" x14ac:dyDescent="0.3">
      <c r="C1" s="114"/>
    </row>
    <row r="2" spans="2:36" ht="4.5" customHeight="1" x14ac:dyDescent="0.25">
      <c r="B2" s="18"/>
      <c r="C2" s="5"/>
      <c r="D2" s="5"/>
      <c r="E2" s="5"/>
      <c r="F2" s="5"/>
      <c r="G2" s="5"/>
      <c r="H2" s="5"/>
      <c r="I2" s="5"/>
      <c r="J2" s="6"/>
    </row>
    <row r="3" spans="2:36" ht="20.25" customHeight="1" x14ac:dyDescent="0.35">
      <c r="B3" s="181" t="str">
        <f>DD!U4</f>
        <v>Statik PRIME</v>
      </c>
      <c r="C3" s="2"/>
      <c r="D3" s="81" t="str">
        <f>DD!U40</f>
        <v>Projekt</v>
      </c>
      <c r="E3" s="207"/>
      <c r="F3" s="207"/>
      <c r="G3" s="207"/>
      <c r="H3" s="207"/>
      <c r="I3" s="207"/>
      <c r="J3" s="186">
        <f ca="1">TODAY()</f>
        <v>44077</v>
      </c>
    </row>
    <row r="4" spans="2:36" ht="19.899999999999999" customHeight="1" x14ac:dyDescent="0.25">
      <c r="B4" s="184" t="s">
        <v>346</v>
      </c>
      <c r="C4" s="81"/>
      <c r="D4" s="81" t="str">
        <f>DD!U41</f>
        <v>Sprache</v>
      </c>
      <c r="E4" s="185" t="s">
        <v>287</v>
      </c>
      <c r="F4" s="81"/>
      <c r="G4" s="81" t="str">
        <f>DD!U42</f>
        <v>Verkäufer</v>
      </c>
      <c r="H4" s="208"/>
      <c r="I4" s="208"/>
      <c r="J4" s="189" t="str">
        <f>IF(SUM(J7:J27)&gt;0,DD!U43,"")</f>
        <v/>
      </c>
      <c r="K4" s="82"/>
      <c r="L4" s="82"/>
      <c r="M4" s="82"/>
      <c r="N4" s="82"/>
      <c r="O4" s="82"/>
      <c r="AH4" t="s">
        <v>0</v>
      </c>
    </row>
    <row r="5" spans="2:36" ht="6" customHeight="1" thickBot="1" x14ac:dyDescent="0.3">
      <c r="B5" s="182"/>
      <c r="C5" s="103"/>
      <c r="D5" s="103"/>
      <c r="E5" s="17"/>
      <c r="F5" s="103"/>
      <c r="G5" s="103"/>
      <c r="H5" s="103"/>
      <c r="I5" s="103"/>
      <c r="J5" s="183"/>
      <c r="K5" s="82"/>
      <c r="L5" s="82"/>
      <c r="M5" s="82"/>
      <c r="N5" s="82"/>
      <c r="O5" s="82"/>
    </row>
    <row r="6" spans="2:36" ht="14.25" customHeight="1" x14ac:dyDescent="0.25">
      <c r="B6" s="82"/>
      <c r="C6" s="82"/>
      <c r="D6" s="82"/>
      <c r="E6" s="82"/>
      <c r="F6" s="82"/>
      <c r="G6" s="82"/>
      <c r="H6" s="82"/>
      <c r="I6" s="82"/>
      <c r="J6" s="82"/>
      <c r="K6" s="82"/>
      <c r="L6" s="90" t="str">
        <f>DD!U18</f>
        <v>Grundmasse</v>
      </c>
      <c r="M6" s="91"/>
      <c r="N6" s="91"/>
      <c r="O6" s="67"/>
      <c r="AH6" s="68" t="s">
        <v>1</v>
      </c>
      <c r="AI6" s="61">
        <v>500</v>
      </c>
      <c r="AJ6" s="69" t="s">
        <v>2</v>
      </c>
    </row>
    <row r="7" spans="2:36" ht="14.25" customHeight="1" x14ac:dyDescent="0.25">
      <c r="B7" s="82"/>
      <c r="C7" s="82"/>
      <c r="D7" s="82"/>
      <c r="E7" s="82"/>
      <c r="F7" s="82"/>
      <c r="G7" s="82"/>
      <c r="H7" s="82"/>
      <c r="I7" s="82"/>
      <c r="J7" s="188">
        <f>IF(M7&lt;&gt;"",1,0)</f>
        <v>0</v>
      </c>
      <c r="K7" s="82"/>
      <c r="L7" s="68" t="s">
        <v>3</v>
      </c>
      <c r="M7" s="2"/>
      <c r="N7" s="177">
        <v>4</v>
      </c>
      <c r="O7" s="200" t="s">
        <v>4</v>
      </c>
    </row>
    <row r="8" spans="2:36" ht="14.25" customHeight="1" x14ac:dyDescent="0.25">
      <c r="B8" s="82"/>
      <c r="C8" s="82"/>
      <c r="D8" s="82"/>
      <c r="E8" s="82"/>
      <c r="F8" s="82"/>
      <c r="G8" s="82"/>
      <c r="H8" s="82"/>
      <c r="I8" s="82"/>
      <c r="J8" s="188">
        <f t="shared" ref="J8:J27" si="0">IF(M8&lt;&gt;"",1,0)</f>
        <v>0</v>
      </c>
      <c r="K8" s="82"/>
      <c r="L8" s="118" t="s">
        <v>5</v>
      </c>
      <c r="M8" s="2"/>
      <c r="N8" s="178">
        <v>0</v>
      </c>
      <c r="O8" s="201" t="s">
        <v>4</v>
      </c>
    </row>
    <row r="9" spans="2:36" ht="14.25" customHeight="1" x14ac:dyDescent="0.25">
      <c r="B9" s="82"/>
      <c r="C9" s="82"/>
      <c r="D9" s="82"/>
      <c r="E9" s="82"/>
      <c r="F9" s="82"/>
      <c r="G9" s="82"/>
      <c r="H9" s="82"/>
      <c r="I9" s="82"/>
      <c r="J9" s="188">
        <f t="shared" si="0"/>
        <v>0</v>
      </c>
      <c r="K9" s="82"/>
      <c r="L9" s="68" t="s">
        <v>6</v>
      </c>
      <c r="M9" s="2"/>
      <c r="N9" s="177">
        <v>3.5</v>
      </c>
      <c r="O9" s="200" t="s">
        <v>4</v>
      </c>
    </row>
    <row r="10" spans="2:36" ht="14.25" customHeight="1" x14ac:dyDescent="0.25">
      <c r="B10" s="82"/>
      <c r="C10" s="82"/>
      <c r="D10" s="82"/>
      <c r="E10" s="82"/>
      <c r="F10" s="82"/>
      <c r="G10" s="82"/>
      <c r="H10" s="82"/>
      <c r="I10" s="82"/>
      <c r="J10" s="188">
        <f t="shared" si="0"/>
        <v>0</v>
      </c>
      <c r="K10" s="82"/>
      <c r="L10" s="118" t="s">
        <v>7</v>
      </c>
      <c r="M10" s="2"/>
      <c r="N10" s="178">
        <v>0</v>
      </c>
      <c r="O10" s="191" t="s">
        <v>4</v>
      </c>
    </row>
    <row r="11" spans="2:36" ht="14.25" customHeight="1" x14ac:dyDescent="0.25">
      <c r="B11" s="82"/>
      <c r="C11" s="82"/>
      <c r="D11" s="82"/>
      <c r="E11" s="82"/>
      <c r="F11" s="82"/>
      <c r="G11" s="82"/>
      <c r="H11" s="82"/>
      <c r="I11" s="82"/>
      <c r="J11" s="188">
        <f t="shared" si="0"/>
        <v>0</v>
      </c>
      <c r="K11" s="82"/>
      <c r="L11" s="68" t="s">
        <v>8</v>
      </c>
      <c r="M11" s="2"/>
      <c r="N11" s="177">
        <v>2.8</v>
      </c>
      <c r="O11" s="200" t="s">
        <v>4</v>
      </c>
    </row>
    <row r="12" spans="2:36" ht="14.25" customHeight="1" x14ac:dyDescent="0.25">
      <c r="B12" s="82"/>
      <c r="C12" s="82"/>
      <c r="D12" s="82"/>
      <c r="E12" s="82"/>
      <c r="F12" s="82"/>
      <c r="G12" s="82"/>
      <c r="H12" s="82"/>
      <c r="I12" s="82"/>
      <c r="J12" s="188">
        <f t="shared" si="0"/>
        <v>0</v>
      </c>
      <c r="K12" s="82"/>
      <c r="L12" s="68" t="s">
        <v>9</v>
      </c>
      <c r="M12" s="2"/>
      <c r="N12" s="177">
        <v>2.1</v>
      </c>
      <c r="O12" s="200" t="s">
        <v>4</v>
      </c>
    </row>
    <row r="13" spans="2:36" ht="14.25" customHeight="1" x14ac:dyDescent="0.25">
      <c r="B13" s="82"/>
      <c r="C13" s="82"/>
      <c r="D13" s="82"/>
      <c r="E13" s="82"/>
      <c r="F13" s="82"/>
      <c r="G13" s="82"/>
      <c r="H13" s="82"/>
      <c r="I13" s="82"/>
      <c r="J13" s="188">
        <f t="shared" si="0"/>
        <v>0</v>
      </c>
      <c r="K13" s="82"/>
      <c r="L13" s="68" t="s">
        <v>37</v>
      </c>
      <c r="M13" s="187" t="str">
        <f>IF(N13&lt;5,"&gt; 5°!","")</f>
        <v/>
      </c>
      <c r="N13" s="190">
        <f>WI</f>
        <v>11.30993247402021</v>
      </c>
      <c r="O13" s="200" t="str">
        <f>D62</f>
        <v>°</v>
      </c>
    </row>
    <row r="14" spans="2:36" ht="14.25" customHeight="1" x14ac:dyDescent="0.25">
      <c r="B14" s="82"/>
      <c r="C14" s="82"/>
      <c r="D14" s="82"/>
      <c r="E14" s="82"/>
      <c r="F14" s="82"/>
      <c r="G14" s="82"/>
      <c r="H14" s="82"/>
      <c r="I14" s="82"/>
      <c r="J14" s="188">
        <f t="shared" si="0"/>
        <v>0</v>
      </c>
      <c r="K14" s="82"/>
      <c r="L14" s="118"/>
      <c r="M14" s="81"/>
      <c r="N14" s="81"/>
      <c r="O14" s="191"/>
    </row>
    <row r="15" spans="2:36" ht="14.25" customHeight="1" x14ac:dyDescent="0.25">
      <c r="B15" s="82"/>
      <c r="C15" s="82"/>
      <c r="D15" s="82"/>
      <c r="E15" s="82"/>
      <c r="F15" s="82"/>
      <c r="G15" s="82"/>
      <c r="H15" s="82"/>
      <c r="I15" s="82"/>
      <c r="J15" s="188">
        <f t="shared" si="0"/>
        <v>0</v>
      </c>
      <c r="K15" s="82"/>
      <c r="L15" s="124" t="str">
        <f>DD!U19</f>
        <v>Front - Pfosten</v>
      </c>
      <c r="M15" s="2"/>
      <c r="N15" s="2"/>
      <c r="O15" s="192"/>
    </row>
    <row r="16" spans="2:36" ht="14.25" customHeight="1" x14ac:dyDescent="0.25">
      <c r="B16" s="82"/>
      <c r="C16" s="82"/>
      <c r="D16" s="82"/>
      <c r="E16" s="82"/>
      <c r="F16" s="82"/>
      <c r="G16" s="82"/>
      <c r="H16" s="82"/>
      <c r="I16" s="82"/>
      <c r="J16" s="188">
        <f t="shared" si="0"/>
        <v>0</v>
      </c>
      <c r="K16" s="82"/>
      <c r="L16" s="68" t="s">
        <v>344</v>
      </c>
      <c r="M16" s="187" t="str">
        <f>IF(OR(STVO="alle",STVO="all"),IF(PFAE&lt;0.3,"min.0.3",""),"")</f>
        <v/>
      </c>
      <c r="N16" s="177">
        <v>0</v>
      </c>
      <c r="O16" s="200" t="s">
        <v>4</v>
      </c>
    </row>
    <row r="17" spans="2:15" ht="14.25" customHeight="1" x14ac:dyDescent="0.25">
      <c r="B17" s="82"/>
      <c r="C17" s="82"/>
      <c r="D17" s="82"/>
      <c r="E17" s="82"/>
      <c r="F17" s="82"/>
      <c r="G17" s="82"/>
      <c r="H17" s="82"/>
      <c r="I17" s="82"/>
      <c r="J17" s="188">
        <f t="shared" si="0"/>
        <v>0</v>
      </c>
      <c r="K17" s="82"/>
      <c r="L17" s="68" t="s">
        <v>345</v>
      </c>
      <c r="M17" s="187" t="str">
        <f>IF(OR(STVO="alle",STVO="all"),IF(PFBE&lt;0.3,"min.0.3",""),"")</f>
        <v/>
      </c>
      <c r="N17" s="177">
        <v>0</v>
      </c>
      <c r="O17" s="200" t="s">
        <v>4</v>
      </c>
    </row>
    <row r="18" spans="2:15" ht="14.25" customHeight="1" x14ac:dyDescent="0.25">
      <c r="B18" s="82"/>
      <c r="C18" s="82"/>
      <c r="D18" s="82"/>
      <c r="E18" s="82"/>
      <c r="F18" s="82"/>
      <c r="G18" s="82"/>
      <c r="H18" s="82"/>
      <c r="I18" s="82"/>
      <c r="J18" s="188">
        <f t="shared" si="0"/>
        <v>0</v>
      </c>
      <c r="K18" s="82"/>
      <c r="L18" s="68" t="s">
        <v>10</v>
      </c>
      <c r="M18" s="170"/>
      <c r="N18" s="178">
        <v>0</v>
      </c>
      <c r="O18" s="200" t="s">
        <v>4</v>
      </c>
    </row>
    <row r="19" spans="2:15" ht="14.25" customHeight="1" x14ac:dyDescent="0.25">
      <c r="B19" s="82"/>
      <c r="C19" s="82"/>
      <c r="D19" s="82"/>
      <c r="E19" s="82"/>
      <c r="F19" s="82"/>
      <c r="G19" s="82"/>
      <c r="H19" s="82"/>
      <c r="I19" s="82"/>
      <c r="J19" s="188">
        <f t="shared" si="0"/>
        <v>0</v>
      </c>
      <c r="K19" s="82"/>
      <c r="L19" s="68" t="str">
        <f>DD!U20</f>
        <v>vorgesetzt</v>
      </c>
      <c r="M19" s="187" t="str">
        <f>IF(C53=0,"B &gt; 6.8m!","")</f>
        <v/>
      </c>
      <c r="N19" s="87" t="s">
        <v>343</v>
      </c>
      <c r="O19" s="193">
        <f>IF(OR(STVO="keiner",STVO="no"),1,IF(OR(STVO="alle",STVO="all"),0.6,0.85))</f>
        <v>0.85</v>
      </c>
    </row>
    <row r="20" spans="2:15" ht="14.25" customHeight="1" x14ac:dyDescent="0.25">
      <c r="B20" s="82"/>
      <c r="C20" s="82"/>
      <c r="D20" s="82"/>
      <c r="E20" s="82"/>
      <c r="F20" s="82"/>
      <c r="G20" s="82"/>
      <c r="H20" s="82"/>
      <c r="I20" s="82"/>
      <c r="J20" s="188">
        <f t="shared" si="0"/>
        <v>0</v>
      </c>
      <c r="K20" s="82"/>
      <c r="L20" s="1"/>
      <c r="M20" s="2"/>
      <c r="N20" s="2"/>
      <c r="O20" s="192"/>
    </row>
    <row r="21" spans="2:15" ht="14.25" customHeight="1" x14ac:dyDescent="0.25">
      <c r="B21" s="82"/>
      <c r="C21" s="82"/>
      <c r="D21" s="82"/>
      <c r="E21" s="81"/>
      <c r="F21" s="82"/>
      <c r="G21" s="82"/>
      <c r="H21" s="82"/>
      <c r="I21" s="82"/>
      <c r="J21" s="188">
        <f t="shared" si="0"/>
        <v>0</v>
      </c>
      <c r="K21" s="82"/>
      <c r="L21" s="125" t="str">
        <f>DD!U21</f>
        <v>Wand - Pfosten</v>
      </c>
      <c r="M21" s="2"/>
      <c r="N21" s="2"/>
      <c r="O21" s="192"/>
    </row>
    <row r="22" spans="2:15" ht="14.25" customHeight="1" x14ac:dyDescent="0.25">
      <c r="B22" s="82"/>
      <c r="C22" s="82"/>
      <c r="D22" s="82"/>
      <c r="E22" s="82"/>
      <c r="F22" s="82"/>
      <c r="G22" s="82"/>
      <c r="H22" s="82"/>
      <c r="I22" s="82"/>
      <c r="J22" s="188">
        <f t="shared" si="0"/>
        <v>0</v>
      </c>
      <c r="K22" s="82"/>
      <c r="L22" s="118" t="s">
        <v>347</v>
      </c>
      <c r="M22" s="2"/>
      <c r="N22" s="178">
        <v>0</v>
      </c>
      <c r="O22" s="201" t="s">
        <v>4</v>
      </c>
    </row>
    <row r="23" spans="2:15" ht="14.25" customHeight="1" x14ac:dyDescent="0.25">
      <c r="B23" s="82"/>
      <c r="C23" s="82"/>
      <c r="D23" s="82"/>
      <c r="E23" s="82"/>
      <c r="F23" s="82"/>
      <c r="G23" s="82"/>
      <c r="H23" s="82"/>
      <c r="I23" s="82"/>
      <c r="J23" s="188">
        <f t="shared" si="0"/>
        <v>0</v>
      </c>
      <c r="K23" s="82"/>
      <c r="L23" s="118" t="s">
        <v>348</v>
      </c>
      <c r="M23" s="2"/>
      <c r="N23" s="178">
        <v>0</v>
      </c>
      <c r="O23" s="201" t="s">
        <v>4</v>
      </c>
    </row>
    <row r="24" spans="2:15" ht="14.25" customHeight="1" x14ac:dyDescent="0.25">
      <c r="B24" s="82"/>
      <c r="C24" s="82"/>
      <c r="D24" s="82"/>
      <c r="E24" s="82"/>
      <c r="F24" s="82"/>
      <c r="G24" s="82"/>
      <c r="H24" s="82"/>
      <c r="I24" s="82"/>
      <c r="J24" s="188">
        <f t="shared" si="0"/>
        <v>0</v>
      </c>
      <c r="K24" s="82"/>
      <c r="L24" s="118" t="s">
        <v>349</v>
      </c>
      <c r="M24" s="2"/>
      <c r="N24" s="178">
        <v>0</v>
      </c>
      <c r="O24" s="191" t="s">
        <v>4</v>
      </c>
    </row>
    <row r="25" spans="2:15" ht="14.25" customHeight="1" x14ac:dyDescent="0.25">
      <c r="B25" s="82"/>
      <c r="C25" s="82"/>
      <c r="D25" s="82"/>
      <c r="E25" s="82"/>
      <c r="F25" s="82"/>
      <c r="G25" s="82"/>
      <c r="H25" s="82"/>
      <c r="I25" s="82"/>
      <c r="J25" s="188">
        <f t="shared" si="0"/>
        <v>0</v>
      </c>
      <c r="K25" s="82"/>
      <c r="L25" s="118"/>
      <c r="M25" s="2"/>
      <c r="N25" s="168"/>
      <c r="O25" s="191"/>
    </row>
    <row r="26" spans="2:15" ht="14.25" customHeight="1" x14ac:dyDescent="0.25">
      <c r="B26" s="82"/>
      <c r="C26" s="82"/>
      <c r="D26" s="82"/>
      <c r="E26" s="82"/>
      <c r="F26" s="82"/>
      <c r="G26" s="82"/>
      <c r="H26" s="82"/>
      <c r="I26" s="82"/>
      <c r="J26" s="188">
        <f t="shared" si="0"/>
        <v>0</v>
      </c>
      <c r="K26" s="82"/>
      <c r="L26" s="125" t="str">
        <f>DD!U22</f>
        <v>Dachfelder</v>
      </c>
      <c r="M26" s="92"/>
      <c r="N26" s="87">
        <v>5</v>
      </c>
      <c r="O26" s="201" t="s">
        <v>11</v>
      </c>
    </row>
    <row r="27" spans="2:15" ht="14.25" customHeight="1" thickBot="1" x14ac:dyDescent="0.3">
      <c r="B27" s="82"/>
      <c r="C27" s="82"/>
      <c r="D27" s="82"/>
      <c r="E27" s="82"/>
      <c r="F27" s="82"/>
      <c r="G27" s="82"/>
      <c r="H27" s="82"/>
      <c r="I27" s="82"/>
      <c r="J27" s="188">
        <f t="shared" si="0"/>
        <v>0</v>
      </c>
      <c r="K27" s="82"/>
      <c r="L27" s="120" t="str">
        <f>DD!U23</f>
        <v>Sparrenabstand</v>
      </c>
      <c r="M27" s="206" t="str">
        <f>IF(N27&lt;0.6,"&gt;0.6m!","")</f>
        <v/>
      </c>
      <c r="N27" s="169">
        <f>L/N26</f>
        <v>0.8</v>
      </c>
      <c r="O27" s="202" t="s">
        <v>4</v>
      </c>
    </row>
    <row r="28" spans="2:15" ht="8.25" customHeight="1" thickBot="1" x14ac:dyDescent="0.3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194"/>
    </row>
    <row r="29" spans="2:15" ht="16.899999999999999" customHeight="1" x14ac:dyDescent="0.25">
      <c r="B29" s="153" t="str">
        <f>DD!U5</f>
        <v>Pfosten und Frontträger</v>
      </c>
      <c r="C29" s="127"/>
      <c r="D29" s="127"/>
      <c r="E29" s="127" t="str">
        <f>DD!U14</f>
        <v>ohne Mittelpfosten</v>
      </c>
      <c r="F29" s="127"/>
      <c r="G29" s="128" t="str" cm="1">
        <f t="array" ref="G29">IF(L&lt;6.9,INDEX(F55:F64,MATCH(TRUE,F55:F64&lt;&gt;"",0)),"")</f>
        <v>F130P80</v>
      </c>
      <c r="H29" s="127" t="str">
        <f>DD!U15</f>
        <v>mit Mittelpfosten</v>
      </c>
      <c r="I29" s="173"/>
      <c r="J29" s="129" t="str" cm="1">
        <f t="array" ref="J29">INDEX(J55:J64,MATCH(TRUE,J55:J64&lt;&gt;"",0))</f>
        <v>F130P80</v>
      </c>
      <c r="K29" s="81"/>
      <c r="L29" s="71" t="str">
        <f>DD!U24</f>
        <v>Last auf Bemessungsniveau</v>
      </c>
      <c r="M29" s="72"/>
      <c r="N29" s="72"/>
      <c r="O29" s="203"/>
    </row>
    <row r="30" spans="2:15" ht="16.5" customHeight="1" x14ac:dyDescent="0.25">
      <c r="B30" s="130"/>
      <c r="C30" s="131"/>
      <c r="D30" s="131"/>
      <c r="E30" s="137" t="str">
        <f>IF(G30&lt;&gt;"",DD!U36,"")</f>
        <v/>
      </c>
      <c r="F30" s="174" t="str">
        <f>IF(G30&lt;&gt;"","?","")</f>
        <v/>
      </c>
      <c r="G30" s="133" t="str">
        <f>IF(OR(STVO="alle",STVO="all"),"VP80/100","")</f>
        <v/>
      </c>
      <c r="H30" s="137" t="str">
        <f>IF(J30&lt;&gt;"",DD!U36,"")</f>
        <v>Pfosten</v>
      </c>
      <c r="I30" s="174" t="str">
        <f>IF(J30&lt;&gt;"","?","")</f>
        <v>?</v>
      </c>
      <c r="J30" s="132" t="str">
        <f>IF(AND(STVO&lt;&gt;"keiner",STVO&lt;&gt;"no"),"VP80/100","")</f>
        <v>VP80/100</v>
      </c>
      <c r="K30" s="81"/>
      <c r="L30" s="68" t="str">
        <f>DD!U25</f>
        <v>Eigenlast (Glas)</v>
      </c>
      <c r="M30" s="116"/>
      <c r="N30" s="88">
        <v>0.3</v>
      </c>
      <c r="O30" s="201" t="s">
        <v>13</v>
      </c>
    </row>
    <row r="31" spans="2:15" ht="16.899999999999999" customHeight="1" x14ac:dyDescent="0.25">
      <c r="B31" s="152" t="str">
        <f>DD!U6</f>
        <v>Wandanschluss</v>
      </c>
      <c r="C31" s="131" t="str">
        <f>DD!U7</f>
        <v>freitragend</v>
      </c>
      <c r="D31" s="131"/>
      <c r="E31" s="131" t="str">
        <f>DD!U14</f>
        <v>ohne Mittelpfosten</v>
      </c>
      <c r="F31" s="131"/>
      <c r="G31" s="133" t="str" cm="1">
        <f t="array" ref="G31">IF((L+BKOR)&lt;6.8,INDEX(F67:F68,MATCH(TRUE,F67:F68&lt;&gt;"",0)),"")</f>
        <v>W190P80</v>
      </c>
      <c r="H31" s="131" t="str">
        <f>DD!U15</f>
        <v>mit Mittelpfosten</v>
      </c>
      <c r="I31" s="139"/>
      <c r="J31" s="132" t="str" cm="1">
        <f t="array" ref="J31">INDEX(J67:J68,MATCH(TRUE,J67:J68&lt;&gt;"",0))</f>
        <v>W190P80</v>
      </c>
      <c r="K31" s="81"/>
      <c r="L31" s="68" t="str">
        <f>DD!U26</f>
        <v>Schnee</v>
      </c>
      <c r="M31" s="116"/>
      <c r="N31" s="88">
        <v>1</v>
      </c>
      <c r="O31" s="201" t="s">
        <v>13</v>
      </c>
    </row>
    <row r="32" spans="2:15" ht="16.5" customHeight="1" x14ac:dyDescent="0.25">
      <c r="B32" s="130"/>
      <c r="C32" s="131"/>
      <c r="D32" s="131"/>
      <c r="E32" s="131"/>
      <c r="F32" s="131"/>
      <c r="G32" s="131"/>
      <c r="H32" s="131"/>
      <c r="I32" s="131"/>
      <c r="J32" s="132"/>
      <c r="K32" s="81"/>
      <c r="L32" s="68" t="str">
        <f>DD!U27</f>
        <v>Wind</v>
      </c>
      <c r="M32" s="116"/>
      <c r="N32" s="88">
        <v>0.5</v>
      </c>
      <c r="O32" s="201" t="s">
        <v>13</v>
      </c>
    </row>
    <row r="33" spans="2:18" ht="16.899999999999999" customHeight="1" thickBot="1" x14ac:dyDescent="0.3">
      <c r="B33" s="152" t="str">
        <f>DD!U8</f>
        <v>Traverse</v>
      </c>
      <c r="C33" s="131"/>
      <c r="D33" s="131"/>
      <c r="E33" s="131" t="str">
        <f>DD!U16</f>
        <v>ohne Stahl</v>
      </c>
      <c r="F33" s="131"/>
      <c r="G33" s="134" t="str" cm="1">
        <f t="array" ref="G33">INDEX(F72:F75,MATCH(TRUE,F72:F75&lt;&gt;"",0))</f>
        <v>80x80</v>
      </c>
      <c r="H33" s="131" t="str">
        <f>DD!U17</f>
        <v>mit Stahl</v>
      </c>
      <c r="I33" s="131"/>
      <c r="J33" s="135" t="str" cm="1">
        <f t="array" ref="J33">INDEX(F77:F80,MATCH(TRUE,F77:F80&lt;&gt;"",0))</f>
        <v>80x80S</v>
      </c>
      <c r="K33" s="81"/>
      <c r="L33" s="70" t="str">
        <f>DD!U28</f>
        <v>Unterbauelemente</v>
      </c>
      <c r="M33" s="117"/>
      <c r="N33" s="155">
        <v>0.5</v>
      </c>
      <c r="O33" s="204" t="s">
        <v>21</v>
      </c>
      <c r="R33" t="s">
        <v>279</v>
      </c>
    </row>
    <row r="34" spans="2:18" ht="9.75" customHeight="1" thickBot="1" x14ac:dyDescent="0.3">
      <c r="B34" s="130"/>
      <c r="C34" s="131"/>
      <c r="D34" s="131"/>
      <c r="E34" s="131"/>
      <c r="F34" s="131"/>
      <c r="G34" s="131"/>
      <c r="H34" s="131"/>
      <c r="I34" s="131"/>
      <c r="J34" s="136"/>
      <c r="K34" s="81"/>
      <c r="L34" s="82"/>
      <c r="M34" s="82"/>
      <c r="N34" s="82"/>
      <c r="O34" s="194"/>
    </row>
    <row r="35" spans="2:18" ht="16.899999999999999" customHeight="1" thickBot="1" x14ac:dyDescent="0.3">
      <c r="B35" s="151" t="str">
        <f>DD!U9</f>
        <v>Sparren</v>
      </c>
      <c r="C35" s="147"/>
      <c r="D35" s="147"/>
      <c r="E35" s="137" t="str">
        <f>DD!U16</f>
        <v>ohne Stahl</v>
      </c>
      <c r="F35" s="147"/>
      <c r="G35" s="147"/>
      <c r="H35" s="137" t="str">
        <f>DD!U17</f>
        <v>mit Stahl</v>
      </c>
      <c r="I35" s="147"/>
      <c r="J35" s="148"/>
      <c r="K35" s="81"/>
      <c r="L35" s="102" t="str">
        <f>DD!U29</f>
        <v>Prüfung EN18008</v>
      </c>
      <c r="M35" s="172" t="s">
        <v>274</v>
      </c>
      <c r="N35" s="156" t="s">
        <v>23</v>
      </c>
      <c r="O35" s="205"/>
    </row>
    <row r="36" spans="2:18" ht="16.899999999999999" customHeight="1" thickBot="1" x14ac:dyDescent="0.3">
      <c r="B36" s="118" t="str">
        <f>DD!U10</f>
        <v>Feldsparren (Statik aussen)</v>
      </c>
      <c r="C36" s="81"/>
      <c r="D36" s="81"/>
      <c r="E36" s="81"/>
      <c r="F36" s="81"/>
      <c r="G36" s="98" t="str" cm="1">
        <f t="array" ref="G36">INDEX(C84:C86,MATCH(TRUE,C84:C86&lt;&gt;"",0))</f>
        <v>135s</v>
      </c>
      <c r="H36" s="98"/>
      <c r="I36" s="81"/>
      <c r="J36" s="119" t="str" cm="1">
        <f t="array" ref="J36">INDEX(C88:C90,MATCH(TRUE,C88:C90&lt;&gt;"",0))</f>
        <v>95 + S</v>
      </c>
      <c r="K36" s="81"/>
      <c r="O36" s="195"/>
    </row>
    <row r="37" spans="2:18" ht="16.899999999999999" customHeight="1" x14ac:dyDescent="0.25">
      <c r="B37" s="118" t="str">
        <f>DD!U11</f>
        <v>Feldsparren (Statik innen/aussen)</v>
      </c>
      <c r="C37" s="81"/>
      <c r="D37" s="81"/>
      <c r="E37" s="81"/>
      <c r="F37" s="81"/>
      <c r="G37" s="98" t="str" cm="1">
        <f t="array" ref="G37">IF(DAUE=0,INDEX(G83:G84,MATCH(TRUE,G83:G84&lt;&gt;"",0)),"")</f>
        <v>165i</v>
      </c>
      <c r="H37" s="98"/>
      <c r="I37" s="81"/>
      <c r="J37" s="119" t="str" cm="1">
        <f t="array" ref="J37">IF(DAUE=0,INDEX(G87:G90,MATCH(TRUE,G87:G90&lt;&gt;"",0)),"")</f>
        <v>165i + S (V1)</v>
      </c>
      <c r="K37" s="81"/>
      <c r="L37" s="71" t="str">
        <f>DD!U30</f>
        <v>Elemente</v>
      </c>
      <c r="M37" s="72"/>
      <c r="N37" s="72"/>
      <c r="O37" s="196"/>
    </row>
    <row r="38" spans="2:18" ht="16.899999999999999" customHeight="1" x14ac:dyDescent="0.25">
      <c r="B38" s="138" t="str">
        <f>DD!U12</f>
        <v>Randsparren</v>
      </c>
      <c r="C38" s="139"/>
      <c r="D38" s="139"/>
      <c r="E38" s="140"/>
      <c r="F38" s="139"/>
      <c r="G38" s="157" cm="1">
        <f t="array" ref="G38">INDEX(C94:C96,MATCH(TRUE,C94:C96&lt;&gt;"",0))</f>
        <v>95</v>
      </c>
      <c r="H38" s="141"/>
      <c r="I38" s="139"/>
      <c r="J38" s="142" t="str" cm="1">
        <f t="array" ref="J38">INDEX(C99:C101,MATCH(TRUE,C99:C101&lt;&gt;"",0))</f>
        <v>95 + S</v>
      </c>
      <c r="K38" s="81"/>
      <c r="L38" s="68" t="str">
        <f>DD!U31</f>
        <v>ja / nein</v>
      </c>
      <c r="M38" s="116"/>
      <c r="N38" s="87" t="s">
        <v>25</v>
      </c>
      <c r="O38" s="197">
        <f>IF(OR(UB="ja",UB="yes"),0.9,0.1)</f>
        <v>0.1</v>
      </c>
    </row>
    <row r="39" spans="2:18" ht="16.5" customHeight="1" thickBot="1" x14ac:dyDescent="0.3">
      <c r="B39" s="1"/>
      <c r="C39" s="2"/>
      <c r="D39" s="2"/>
      <c r="E39" s="2"/>
      <c r="F39" s="2"/>
      <c r="G39" s="158"/>
      <c r="H39" s="2"/>
      <c r="I39" s="2"/>
      <c r="J39" s="3"/>
      <c r="K39" s="81"/>
      <c r="L39" s="120" t="str">
        <f>DD!U32</f>
        <v>obenlaufend</v>
      </c>
      <c r="M39" s="121"/>
      <c r="N39" s="89" t="s">
        <v>25</v>
      </c>
      <c r="O39" s="198">
        <f>IF(OR(OL="ja",OL="yes"),1,0)</f>
        <v>0</v>
      </c>
    </row>
    <row r="40" spans="2:18" ht="17.25" customHeight="1" thickBot="1" x14ac:dyDescent="0.3">
      <c r="B40" s="151" t="str">
        <f>IF(BKOR=0,"",DD!U12)</f>
        <v/>
      </c>
      <c r="C40" s="143" t="str">
        <f>IF(BKOR=0,"",90-C63)</f>
        <v/>
      </c>
      <c r="D40" s="137" t="str">
        <f>IF(BKOR=0,"","°")</f>
        <v/>
      </c>
      <c r="E40" s="147"/>
      <c r="F40" s="137"/>
      <c r="G40" s="159" t="str" cm="1">
        <f t="array" ref="G40">IF(BKOR=0,"",INDEX(G93:G95,MATCH(TRUE,G93:G95&lt;&gt;"",0)))</f>
        <v/>
      </c>
      <c r="H40" s="144"/>
      <c r="I40" s="137"/>
      <c r="J40" s="145" t="str" cm="1">
        <f t="array" ref="J40">IF(BKOR=0,"",INDEX(C99:C101,MATCH(TRUE,C99:C101&lt;&gt;"",0)))</f>
        <v/>
      </c>
      <c r="K40" s="81"/>
      <c r="O40" s="195"/>
    </row>
    <row r="41" spans="2:18" ht="17.25" customHeight="1" thickBot="1" x14ac:dyDescent="0.3">
      <c r="B41" s="154" t="str">
        <f>IF(BKOR=0,"",DD!U13)</f>
        <v/>
      </c>
      <c r="C41" s="149" t="str">
        <f>IF(BKOR=0,"",90-C63)</f>
        <v/>
      </c>
      <c r="D41" s="103" t="str">
        <f>IF(BKOR=0,"","°")</f>
        <v/>
      </c>
      <c r="E41" s="23"/>
      <c r="F41" s="103"/>
      <c r="G41" s="160" t="str" cm="1">
        <f t="array" ref="G41">IF(BKOR=0,"",INDEX(C104:C105,MATCH(TRUE,C104:C105&lt;&gt;"",0)))</f>
        <v/>
      </c>
      <c r="H41" s="150"/>
      <c r="I41" s="103"/>
      <c r="J41" s="106" t="str" cm="1">
        <f t="array" ref="J41">IF(BKOR=0,"",INDEX(G103:G104,MATCH(TRUE,G103:G104&lt;&gt;"",0)))</f>
        <v/>
      </c>
      <c r="L41" s="126" t="str">
        <f>DD!U33</f>
        <v>LED</v>
      </c>
      <c r="M41" s="122"/>
      <c r="N41" s="123" t="s">
        <v>25</v>
      </c>
      <c r="O41" s="199">
        <f>IF(OR(LED="ja",LED="yes"),0.8,1)</f>
        <v>1</v>
      </c>
    </row>
    <row r="42" spans="2:18" ht="17.25" customHeight="1" x14ac:dyDescent="0.25">
      <c r="B42" s="2"/>
      <c r="C42" s="2"/>
      <c r="D42" s="2"/>
      <c r="E42" s="2"/>
      <c r="F42" s="2"/>
      <c r="G42" s="2"/>
      <c r="H42" s="2"/>
      <c r="I42" s="2"/>
      <c r="J42" s="2"/>
      <c r="L42" s="101"/>
      <c r="M42" s="101"/>
    </row>
    <row r="43" spans="2:18" ht="17.25" customHeight="1" x14ac:dyDescent="0.25"/>
    <row r="44" spans="2:18" ht="17.25" customHeight="1" x14ac:dyDescent="0.25"/>
    <row r="45" spans="2:18" ht="28.5" customHeight="1" x14ac:dyDescent="0.25"/>
    <row r="46" spans="2:18" ht="28.5" customHeight="1" x14ac:dyDescent="0.25"/>
    <row r="47" spans="2:18" ht="28.5" customHeight="1" x14ac:dyDescent="0.25"/>
    <row r="48" spans="2:18" ht="28.5" customHeight="1" x14ac:dyDescent="0.25"/>
    <row r="49" spans="2:32" ht="28.5" customHeight="1" x14ac:dyDescent="0.25"/>
    <row r="50" spans="2:32" ht="34.5" customHeight="1" x14ac:dyDescent="0.25">
      <c r="AE50" s="2"/>
      <c r="AF50" s="2"/>
    </row>
    <row r="51" spans="2:32" ht="34.5" hidden="1" customHeight="1" x14ac:dyDescent="0.25">
      <c r="AD51" s="81"/>
      <c r="AE51" s="85"/>
      <c r="AF51" s="85"/>
    </row>
    <row r="52" spans="2:32" ht="34.5" hidden="1" customHeight="1" x14ac:dyDescent="0.25">
      <c r="B52" s="146">
        <v>1</v>
      </c>
      <c r="AD52" s="2"/>
    </row>
    <row r="53" spans="2:32" ht="34.5" hidden="1" customHeight="1" x14ac:dyDescent="0.25">
      <c r="B53" s="146">
        <v>1</v>
      </c>
      <c r="C53">
        <f>IF(AND(STVO&lt;&gt;"keiner",STVO&lt;&gt;"no"),IF(L&lt;6.9,1,0),1)</f>
        <v>1</v>
      </c>
      <c r="E53" s="95" t="s">
        <v>26</v>
      </c>
      <c r="G53" s="96">
        <f>L-PFAE-PFBE</f>
        <v>4</v>
      </c>
      <c r="H53" s="95" t="s">
        <v>4</v>
      </c>
      <c r="K53" s="96">
        <f>MSTSP</f>
        <v>2</v>
      </c>
      <c r="L53" s="95" t="s">
        <v>4</v>
      </c>
      <c r="M53" s="95"/>
      <c r="P53" s="95" t="s">
        <v>27</v>
      </c>
      <c r="AD53" s="2"/>
    </row>
    <row r="54" spans="2:32" ht="34.5" hidden="1" customHeight="1" x14ac:dyDescent="0.25">
      <c r="B54" s="146">
        <v>0.7</v>
      </c>
      <c r="C54">
        <f>IF(AND(STVO="alle",STVO="all"),IF(SUM(N16:N17)=0,0,1),1)</f>
        <v>1</v>
      </c>
      <c r="E54" s="81"/>
      <c r="G54" s="81" t="s">
        <v>28</v>
      </c>
      <c r="H54" s="81" t="s">
        <v>29</v>
      </c>
      <c r="K54" s="81" t="s">
        <v>28</v>
      </c>
      <c r="L54" s="81" t="s">
        <v>29</v>
      </c>
      <c r="M54" s="81"/>
      <c r="P54" s="2" t="s">
        <v>29</v>
      </c>
      <c r="Q54" s="2" t="s">
        <v>28</v>
      </c>
      <c r="AA54" s="2"/>
      <c r="AB54" s="73"/>
      <c r="AC54" s="2"/>
      <c r="AD54" s="2"/>
    </row>
    <row r="55" spans="2:32" ht="34.5" hidden="1" customHeight="1" x14ac:dyDescent="0.25">
      <c r="B55" t="s">
        <v>30</v>
      </c>
      <c r="C55">
        <f>IF(SUM(C53:C54)&gt;1,1,0)</f>
        <v>1</v>
      </c>
      <c r="E55" s="95" t="str">
        <f>IF(PFCH=1,'RE FR'!A6,"")</f>
        <v>F130P80</v>
      </c>
      <c r="F55" t="str">
        <f>IF(I55&lt;1,E55,"")</f>
        <v>F130P80</v>
      </c>
      <c r="G55" s="83">
        <f>'RE FR'!AU6</f>
        <v>0.36640209361331666</v>
      </c>
      <c r="H55" s="83">
        <f>IF(UB="ja",'RE FR'!Z6,'RE FR'!Y6)</f>
        <v>0.94560476380850012</v>
      </c>
      <c r="I55" s="13">
        <f t="shared" ref="I55:I64" si="1">IF(OR(STS="ja",STS="yes"),MAX(G55:H55),H55)</f>
        <v>0.94560476380850012</v>
      </c>
      <c r="J55" t="str">
        <f>IF(N55&lt;1,E55,"")</f>
        <v>F130P80</v>
      </c>
      <c r="K55" s="83">
        <f>'RE FR'!AV6</f>
        <v>0.33108180258959341</v>
      </c>
      <c r="L55" s="83">
        <f>IF(OR(UB="ja",UB="yes"),'RE FR'!AL6,'RE FR'!AK6)</f>
        <v>8.6781326781326773E-2</v>
      </c>
      <c r="M55" s="83"/>
      <c r="N55" s="13">
        <f t="shared" ref="N55:N64" si="2">IF(OR(STS="ja",STS="yes"),MAX(K55:L55),L55)</f>
        <v>0.33108180258959341</v>
      </c>
      <c r="P55" s="83">
        <f>IF(OR(UB="ja",UB="yes"),'RE FR'!AG6,'RE FR'!AF6)</f>
        <v>1.5425209948484848</v>
      </c>
      <c r="Q55" s="83">
        <f>'RE FR'!AD6</f>
        <v>0.45941330100092859</v>
      </c>
    </row>
    <row r="56" spans="2:32" ht="34.5" hidden="1" customHeight="1" x14ac:dyDescent="0.25">
      <c r="B56" s="92" t="s">
        <v>31</v>
      </c>
      <c r="C56" s="107">
        <f>((B/2+DAUE))*(EL*LFE+SL*LFS*LWF+((HW-H)*fl*LFW*LGF))+(LLUB*OLF)</f>
        <v>2.3178749999999999</v>
      </c>
      <c r="D56" s="93" t="s">
        <v>21</v>
      </c>
      <c r="E56" s="95" t="str">
        <f>IF(PFCH=1,'RE FR'!A7,"")</f>
        <v>F130P100</v>
      </c>
      <c r="F56" t="str">
        <f>IF(OR(STVO&lt;&gt;"alle",STVO&lt;&gt;"all"),IF(I56&lt;1,E56,""),"")</f>
        <v>F130P100</v>
      </c>
      <c r="G56" s="83">
        <f>'RE FR'!AU7</f>
        <v>0.2972296241785965</v>
      </c>
      <c r="H56" s="83">
        <f>IF(UB="ja",'RE FR'!Z7,'RE FR'!Y7)</f>
        <v>0.7106829276302099</v>
      </c>
      <c r="I56" s="13">
        <f t="shared" si="1"/>
        <v>0.7106829276302099</v>
      </c>
      <c r="J56" t="str">
        <f>IF(STF=1,IF(N56&lt;1,E56,""),"")</f>
        <v/>
      </c>
      <c r="K56" s="83">
        <f>'RE FR'!AV7</f>
        <v>0.27174443043957325</v>
      </c>
      <c r="L56" s="83">
        <f>IF(OR(UB="ja",UB="yes"),'RE FR'!AL7,'RE FR'!AK7)</f>
        <v>8.6781326781326773E-2</v>
      </c>
      <c r="M56" s="83"/>
      <c r="N56" s="13">
        <f t="shared" si="2"/>
        <v>0.27174443043957325</v>
      </c>
      <c r="P56" s="83">
        <f>IF(OR(UB="ja",UB="yes"),'RE FR'!AG7,'RE FR'!AF7)</f>
        <v>1.5425209948484848</v>
      </c>
      <c r="Q56" s="83">
        <f>'RE FR'!AD7</f>
        <v>0.45941330100092859</v>
      </c>
    </row>
    <row r="57" spans="2:32" ht="34.5" hidden="1" customHeight="1" x14ac:dyDescent="0.25">
      <c r="B57" s="92" t="s">
        <v>32</v>
      </c>
      <c r="C57" s="107">
        <f>B/2*((HW-H)/4+H)*fl*LFW*LGF</f>
        <v>0.13934374999999999</v>
      </c>
      <c r="D57" s="94" t="s">
        <v>33</v>
      </c>
      <c r="E57" s="95" t="str">
        <f>IF(PFCH=1,'RE FR'!A8,"")</f>
        <v>F170P80</v>
      </c>
      <c r="F57" t="str">
        <f>IF(I57&lt;1,E57,"")</f>
        <v>F170P80</v>
      </c>
      <c r="G57" s="83">
        <f>'RE FR'!AU8</f>
        <v>0.24579747860178996</v>
      </c>
      <c r="H57" s="83">
        <f>IF(UB="ja",'RE FR'!Z8,'RE FR'!Y8)</f>
        <v>0.54473703048978728</v>
      </c>
      <c r="I57" s="13">
        <f t="shared" si="1"/>
        <v>0.54473703048978728</v>
      </c>
      <c r="J57" t="str">
        <f t="shared" ref="J57:J61" si="3">IF(N57&lt;1,E57,"")</f>
        <v>F170P80</v>
      </c>
      <c r="K57" s="83">
        <f>'RE FR'!AV8</f>
        <v>0.22570023123401661</v>
      </c>
      <c r="L57" s="83">
        <f>IF(OR(UB="ja",UB="yes"),'RE FR'!AL8,'RE FR'!AK8)</f>
        <v>4.0506135555640504E-2</v>
      </c>
      <c r="M57" s="83"/>
      <c r="N57" s="13">
        <f t="shared" si="2"/>
        <v>0.22570023123401661</v>
      </c>
      <c r="P57" s="83">
        <f>IF(OR(UB="ja",UB="yes"),'RE FR'!AG8,'RE FR'!AF8)</f>
        <v>0.71998858316831682</v>
      </c>
      <c r="Q57" s="83">
        <f>'RE FR'!AD8</f>
        <v>0.26882156067388724</v>
      </c>
    </row>
    <row r="58" spans="2:32" ht="34.5" hidden="1" customHeight="1" x14ac:dyDescent="0.25">
      <c r="B58" t="s">
        <v>14</v>
      </c>
      <c r="C58" s="111">
        <f>((B/2+DAUE))*(EL*LFE+SL*LFS*LWF+((HW-H)*fl*LFW*LGF))</f>
        <v>2.3178749999999999</v>
      </c>
      <c r="D58" s="105" t="s">
        <v>21</v>
      </c>
      <c r="E58" s="95" t="str">
        <f>IF(PFCH=1,'RE FR'!A9,"")</f>
        <v>F170P100</v>
      </c>
      <c r="F58" t="str">
        <f>IF(OR(STVO&lt;&gt;"alle",STVO&lt;&gt;"all"),IF(I58&lt;1,E58,""),"")</f>
        <v>F170P100</v>
      </c>
      <c r="G58" s="83">
        <f>'RE FR'!AU9</f>
        <v>0.22292787086246421</v>
      </c>
      <c r="H58" s="83">
        <f>IF(UB="ja",'RE FR'!Z9,'RE FR'!Y9)</f>
        <v>0.43706088684267586</v>
      </c>
      <c r="I58" s="13">
        <f t="shared" si="1"/>
        <v>0.43706088684267586</v>
      </c>
      <c r="J58" t="str">
        <f>IF(STF=1,IF(N58&lt;1,E58,""),"")</f>
        <v/>
      </c>
      <c r="K58" s="83">
        <f>'RE FR'!AV9</f>
        <v>0.19161354857583088</v>
      </c>
      <c r="L58" s="83">
        <f>IF(OR(UB="ja",UB="yes"),'RE FR'!AL9,'RE FR'!AK9)</f>
        <v>4.0506135555640504E-2</v>
      </c>
      <c r="M58" s="83"/>
      <c r="N58" s="13">
        <f t="shared" si="2"/>
        <v>0.19161354857583088</v>
      </c>
      <c r="P58" s="83">
        <f>IF(OR(UB="ja",UB="yes"),'RE FR'!AG9,'RE FR'!AF9)</f>
        <v>0.71998858316831682</v>
      </c>
      <c r="Q58" s="83">
        <f>'RE FR'!AD9</f>
        <v>0.26882156067388724</v>
      </c>
    </row>
    <row r="59" spans="2:32" ht="34.5" hidden="1" customHeight="1" x14ac:dyDescent="0.25">
      <c r="B59" s="92" t="s">
        <v>34</v>
      </c>
      <c r="C59" s="107">
        <f>SPA*(EL*LFE+SL*LFS*LWF+((HW-H)*fl*LFW*LGF))</f>
        <v>1.0596000000000001</v>
      </c>
      <c r="D59" s="94" t="s">
        <v>21</v>
      </c>
      <c r="E59" s="95" t="str">
        <f>IF(PFCH=1,'RE FR'!A10,"")</f>
        <v>F205P80</v>
      </c>
      <c r="F59" t="str">
        <f>IF(I59&lt;1,E59,"")</f>
        <v>F205P80</v>
      </c>
      <c r="G59" s="83">
        <f>'RE FR'!AU10</f>
        <v>0.18060948209987618</v>
      </c>
      <c r="H59" s="83">
        <f>IF(UB="ja",'RE FR'!Z10,'RE FR'!Y10)</f>
        <v>0.35868964562592709</v>
      </c>
      <c r="I59" s="13">
        <f t="shared" si="1"/>
        <v>0.35868964562592709</v>
      </c>
      <c r="J59" t="str">
        <f t="shared" si="3"/>
        <v>F205P80</v>
      </c>
      <c r="K59" s="83">
        <f>'RE FR'!AV10</f>
        <v>0.17024679565813372</v>
      </c>
      <c r="L59" s="83">
        <f>IF(OR(UB="ja",UB="yes"),'RE FR'!AL10,'RE FR'!AK10)</f>
        <v>2.4185912701043973E-2</v>
      </c>
      <c r="M59" s="83"/>
      <c r="N59" s="13">
        <f t="shared" si="2"/>
        <v>0.17024679565813372</v>
      </c>
      <c r="P59" s="83">
        <f>IF(OR(UB="ja",UB="yes"),'RE FR'!AG10,'RE FR'!AF10)</f>
        <v>0.42989983565174728</v>
      </c>
      <c r="Q59" s="83">
        <f>'RE FR'!AD10</f>
        <v>0.18829465098339077</v>
      </c>
    </row>
    <row r="60" spans="2:32" ht="34.5" hidden="1" customHeight="1" x14ac:dyDescent="0.25">
      <c r="B60" s="92" t="s">
        <v>35</v>
      </c>
      <c r="C60" s="108">
        <f>BKOR*(EL*LFE+SL*LFS*LWF+((HW-H)*fl*LFW*LGF))</f>
        <v>0</v>
      </c>
      <c r="D60" s="94" t="s">
        <v>21</v>
      </c>
      <c r="E60" s="95" t="str">
        <f>IF(PFCH=1,'RE FR'!A11,"")</f>
        <v>F205P100</v>
      </c>
      <c r="F60" t="str">
        <f>IF(OR(STVO&lt;&gt;"alle",STVO&lt;&gt;"all"),IF(I60&lt;1,E60,""),"")</f>
        <v>F205P100</v>
      </c>
      <c r="G60" s="83">
        <f>'RE FR'!AU11</f>
        <v>0.17205616340067575</v>
      </c>
      <c r="H60" s="83">
        <f>IF(UB="ja",'RE FR'!Z11,'RE FR'!Y11)</f>
        <v>0.30414199875415315</v>
      </c>
      <c r="I60" s="13">
        <f t="shared" si="1"/>
        <v>0.30414199875415315</v>
      </c>
      <c r="J60" t="str">
        <f>IF(STF=1,IF(N60&lt;1,E60,""),"")</f>
        <v/>
      </c>
      <c r="K60" s="83">
        <f>'RE FR'!AV11</f>
        <v>0.14993243045383517</v>
      </c>
      <c r="L60" s="83">
        <f>IF(OR(UB="ja",UB="yes"),'RE FR'!AL11,'RE FR'!AK11)</f>
        <v>2.4185912701043973E-2</v>
      </c>
      <c r="M60" s="83"/>
      <c r="N60" s="13">
        <f t="shared" si="2"/>
        <v>0.14993243045383517</v>
      </c>
      <c r="P60" s="83">
        <f>IF(OR(UB="ja",UB="yes"),'RE FR'!AG11,'RE FR'!AF11)</f>
        <v>0.42989983565174728</v>
      </c>
      <c r="Q60" s="83">
        <f>'RE FR'!AD11</f>
        <v>0.18829465098339077</v>
      </c>
    </row>
    <row r="61" spans="2:32" ht="34.5" hidden="1" customHeight="1" x14ac:dyDescent="0.25">
      <c r="B61" s="92" t="s">
        <v>36</v>
      </c>
      <c r="C61" s="101">
        <f>(H*0.5+(HW-H)*0.5)*LFW*fl*LGF</f>
        <v>4.8999999999999995E-2</v>
      </c>
      <c r="D61" s="93" t="s">
        <v>21</v>
      </c>
      <c r="E61" s="95" t="str">
        <f>IF(PFCH=1,'RE FR'!A12,"")</f>
        <v>F240P80</v>
      </c>
      <c r="F61" t="str">
        <f>IF(I61&lt;1,E61,"")</f>
        <v>F240P80</v>
      </c>
      <c r="G61" s="83">
        <f>'RE FR'!AU12</f>
        <v>0.12352414500819807</v>
      </c>
      <c r="H61" s="83">
        <f>IF(UB="ja",'RE FR'!Z12,'RE FR'!Y12)</f>
        <v>0.20619692441906934</v>
      </c>
      <c r="I61" s="13">
        <f t="shared" si="1"/>
        <v>0.20619692441906934</v>
      </c>
      <c r="J61" t="str">
        <f t="shared" si="3"/>
        <v>F240P80</v>
      </c>
      <c r="K61" s="83">
        <f>'RE FR'!AV12</f>
        <v>0.1060517245021716</v>
      </c>
      <c r="L61" s="83">
        <f>IF(OR(UB="ja",UB="yes"),'RE FR'!AL12,'RE FR'!AK12)</f>
        <v>1.2923464210444149E-2</v>
      </c>
      <c r="M61" s="83"/>
      <c r="N61" s="13">
        <f t="shared" si="2"/>
        <v>0.1060517245021716</v>
      </c>
      <c r="P61" s="83">
        <f>IF(OR(UB="ja",UB="yes"),'RE FR'!AG12,'RE FR'!AF12)</f>
        <v>0.22847034483842013</v>
      </c>
      <c r="Q61" s="83">
        <f>'RE FR'!AD12</f>
        <v>0.11038107499817772</v>
      </c>
    </row>
    <row r="62" spans="2:32" ht="34.5" hidden="1" customHeight="1" x14ac:dyDescent="0.25">
      <c r="B62" s="81" t="s">
        <v>37</v>
      </c>
      <c r="C62" s="109">
        <f>DEGREES(ATAN((HW-H)/B))</f>
        <v>11.30993247402021</v>
      </c>
      <c r="D62" s="95" t="s">
        <v>38</v>
      </c>
      <c r="E62" s="95" t="str">
        <f>IF(PFCH=1,'RE FR'!A13,"")</f>
        <v>F240P100</v>
      </c>
      <c r="F62" t="str">
        <f>IF(OR(STVO&lt;&gt;"alle",STVO&lt;&gt;"all"),IF(I62&lt;1,E62,""),"")</f>
        <v>F240P100</v>
      </c>
      <c r="G62" s="83">
        <f>'RE FR'!AU13</f>
        <v>0.11895868859391069</v>
      </c>
      <c r="H62" s="83">
        <f>IF(UB="ja",'RE FR'!Z13,'RE FR'!Y13)</f>
        <v>0.1856077370703148</v>
      </c>
      <c r="I62" s="13">
        <f t="shared" si="1"/>
        <v>0.1856077370703148</v>
      </c>
      <c r="J62" t="str">
        <f>IF(STF=1,IF(N62&lt;1,E62,""),"")</f>
        <v/>
      </c>
      <c r="K62" s="83">
        <f>'RE FR'!AV13</f>
        <v>9.7526970297027671E-2</v>
      </c>
      <c r="L62" s="83">
        <f>IF(OR(UB="ja",UB="yes"),'RE FR'!AL13,'RE FR'!AK13)</f>
        <v>1.2923464210444149E-2</v>
      </c>
      <c r="M62" s="83"/>
      <c r="N62" s="13">
        <f t="shared" si="2"/>
        <v>9.7526970297027671E-2</v>
      </c>
      <c r="P62" s="83">
        <f>IF(OR(UB="ja",UB="yes"),'RE FR'!AG13,'RE FR'!AF13)</f>
        <v>0.22847034483842013</v>
      </c>
      <c r="Q62" s="83">
        <f>'RE FR'!AD13</f>
        <v>0.11038107499817772</v>
      </c>
    </row>
    <row r="63" spans="2:32" ht="34.5" hidden="1" customHeight="1" x14ac:dyDescent="0.25">
      <c r="B63" s="92" t="s">
        <v>39</v>
      </c>
      <c r="C63" s="110">
        <f>DEGREES(ATAN((BKOR)/B))</f>
        <v>0</v>
      </c>
      <c r="D63" s="95" t="s">
        <v>38</v>
      </c>
      <c r="E63" s="95"/>
      <c r="G63" s="83">
        <f>'RE FR'!AU14</f>
        <v>0.26058006584999777</v>
      </c>
      <c r="H63" s="83">
        <f>IF(UB="ja",'RE FR'!Z14,'RE FR'!Y14)</f>
        <v>0.22830764667693731</v>
      </c>
      <c r="I63" s="13">
        <f t="shared" si="1"/>
        <v>0.26058006584999777</v>
      </c>
      <c r="K63" s="83">
        <f>'RE FR'!AV14</f>
        <v>0.17249616046662242</v>
      </c>
      <c r="L63" s="83">
        <f>IF(OR(UB="ja",UB="yes"),'RE FR'!AL14,'RE FR'!AK14)</f>
        <v>2.4185912701043973E-2</v>
      </c>
      <c r="M63" s="83"/>
      <c r="N63" s="13">
        <f t="shared" si="2"/>
        <v>0.17249616046662242</v>
      </c>
    </row>
    <row r="64" spans="2:32" ht="34.5" hidden="1" customHeight="1" x14ac:dyDescent="0.25">
      <c r="C64" s="86">
        <f>IF(WI&gt;15,0.7,1)</f>
        <v>1</v>
      </c>
      <c r="E64" s="95" t="str">
        <f>IF(PFCH=1,'RE FR'!A15,"")</f>
        <v>F240P100S</v>
      </c>
      <c r="F64" t="str">
        <f>IF(OR(STVO&lt;&gt;"alle",STVO&lt;&gt;"all"),IF(I64&lt;1,E64,""),"")</f>
        <v>F240P100S</v>
      </c>
      <c r="G64" s="83">
        <f>'RE FR'!AU15</f>
        <v>0.19716372772248136</v>
      </c>
      <c r="H64" s="83">
        <f>IF(UB="ja",'RE FR'!Z15,'RE FR'!Y15)</f>
        <v>0.14997418657154479</v>
      </c>
      <c r="I64" s="13">
        <f t="shared" si="1"/>
        <v>0.19716372772248136</v>
      </c>
      <c r="J64" t="str">
        <f>IF(STF=1,IF(N64&lt;1,E64,""),"")</f>
        <v/>
      </c>
      <c r="K64" s="83">
        <f>'RE FR'!AV15</f>
        <v>0.1305164533767228</v>
      </c>
      <c r="L64" s="83">
        <f>IF(OR(UB="ja",UB="yes"),'RE FR'!AL15,'RE FR'!AK15)</f>
        <v>1.2923464210444149E-2</v>
      </c>
      <c r="M64" s="83"/>
      <c r="N64" s="13">
        <f t="shared" si="2"/>
        <v>0.1305164533767228</v>
      </c>
    </row>
    <row r="65" spans="2:14" ht="34.5" hidden="1" customHeight="1" x14ac:dyDescent="0.25">
      <c r="B65" s="92" t="s">
        <v>40</v>
      </c>
      <c r="C65" s="101">
        <f>(L-PFAE-PFBE)/2+STE</f>
        <v>2</v>
      </c>
      <c r="D65" s="95" t="s">
        <v>4</v>
      </c>
    </row>
    <row r="66" spans="2:14" ht="34.5" hidden="1" customHeight="1" x14ac:dyDescent="0.25">
      <c r="B66" s="92" t="s">
        <v>41</v>
      </c>
      <c r="C66" s="111">
        <f>(L+BKOR-WAE-WBE)/2+WSTE</f>
        <v>2</v>
      </c>
      <c r="D66" t="s">
        <v>4</v>
      </c>
      <c r="E66" s="104" t="s">
        <v>42</v>
      </c>
      <c r="F66" s="2"/>
      <c r="G66" s="2">
        <f>L+BKOR-WAE-WBE</f>
        <v>4</v>
      </c>
      <c r="H66" s="2" t="s">
        <v>4</v>
      </c>
      <c r="I66" s="2"/>
      <c r="J66" s="2"/>
      <c r="K66" s="2">
        <f>MSTWA</f>
        <v>2</v>
      </c>
      <c r="L66" s="2" t="s">
        <v>4</v>
      </c>
      <c r="M66" s="2"/>
    </row>
    <row r="67" spans="2:14" ht="34.5" hidden="1" customHeight="1" x14ac:dyDescent="0.25">
      <c r="B67" s="92" t="s">
        <v>43</v>
      </c>
      <c r="C67" s="112">
        <f>SQRT((HW-H)^2+(B-0.12)^2)</f>
        <v>3.4517242068276541</v>
      </c>
      <c r="D67" s="93" t="s">
        <v>4</v>
      </c>
      <c r="E67" s="95" t="str">
        <f>'RE FR'!A18</f>
        <v>W190P80</v>
      </c>
      <c r="F67" t="str">
        <f>IF(I67&lt;1,E67,"")</f>
        <v>W190P80</v>
      </c>
      <c r="G67" s="83">
        <f>'RE FR'!AU18</f>
        <v>0.18005740176266669</v>
      </c>
      <c r="H67" s="83">
        <f>'RE FR'!Y18</f>
        <v>0.22830764667693731</v>
      </c>
      <c r="I67" s="13">
        <f>IF(OR(STS="ja",STS="yes"),MAX(G67:H67),H67)</f>
        <v>0.22830764667693731</v>
      </c>
      <c r="J67" t="str">
        <f>IF(N67&lt;1,E67,"")</f>
        <v>W190P80</v>
      </c>
      <c r="K67" s="83">
        <f>'RE FR'!AV18</f>
        <v>0.18005740176266669</v>
      </c>
      <c r="L67" s="83">
        <f>'RE FR'!AK18</f>
        <v>2.4185912701043973E-2</v>
      </c>
      <c r="M67" s="83"/>
      <c r="N67" s="13">
        <f>IF(OR(STS="ja",STS="yes"),MAX(K67:L67),L67)</f>
        <v>0.18005740176266669</v>
      </c>
    </row>
    <row r="68" spans="2:14" ht="34.5" hidden="1" customHeight="1" x14ac:dyDescent="0.25">
      <c r="B68" s="92" t="s">
        <v>44</v>
      </c>
      <c r="C68" s="113">
        <f>SQRT(LSP^2+BKOR^2)</f>
        <v>3.4517242068276541</v>
      </c>
      <c r="D68" s="105" t="s">
        <v>4</v>
      </c>
      <c r="E68" s="95" t="str">
        <f>'RE FR'!A19</f>
        <v>W190P100</v>
      </c>
      <c r="F68" t="str">
        <f>IF(WAE+WBE=0,IF(I68&lt;1,E68,""),"")</f>
        <v>W190P100</v>
      </c>
      <c r="G68" s="83">
        <f>'RE FR'!AU19</f>
        <v>0.14979880827913369</v>
      </c>
      <c r="H68" s="83">
        <f>'RE FR'!Y19</f>
        <v>0.14997418657154479</v>
      </c>
      <c r="I68" s="13">
        <f>IF(OR(STS="ja",STS="yes"),MAX(G68:H68),H68)</f>
        <v>0.14997418657154479</v>
      </c>
      <c r="J68" t="str">
        <f>IF(PFAE+PFBE=0,IF(N68&lt;1,E68,""),"")</f>
        <v>W190P100</v>
      </c>
      <c r="K68" s="83">
        <f>'RE FR'!AV19</f>
        <v>9.9162302328608717E-2</v>
      </c>
      <c r="L68" s="83">
        <f>'RE FR'!AK19</f>
        <v>1.2923464210444149E-2</v>
      </c>
      <c r="M68" s="83"/>
      <c r="N68" s="13">
        <f>IF(OR(STS="ja",STS="yes"),MAX(K68:L68),L68)</f>
        <v>9.9162302328608717E-2</v>
      </c>
    </row>
    <row r="69" spans="2:14" ht="34.5" hidden="1" customHeight="1" x14ac:dyDescent="0.25">
      <c r="B69" s="92"/>
      <c r="C69" s="111"/>
      <c r="J69" s="81"/>
    </row>
    <row r="70" spans="2:14" ht="34.5" hidden="1" customHeight="1" x14ac:dyDescent="0.25">
      <c r="B70" s="92" t="s">
        <v>45</v>
      </c>
      <c r="C70" s="112">
        <f>L/(N26)</f>
        <v>0.8</v>
      </c>
      <c r="D70" s="93" t="s">
        <v>4</v>
      </c>
      <c r="E70" s="95" t="s">
        <v>46</v>
      </c>
      <c r="F70" s="2"/>
      <c r="G70" s="97" t="s">
        <v>47</v>
      </c>
      <c r="H70" s="97" t="s">
        <v>48</v>
      </c>
      <c r="I70" s="81"/>
      <c r="J70" s="81"/>
    </row>
    <row r="71" spans="2:14" ht="34.5" hidden="1" customHeight="1" x14ac:dyDescent="0.25">
      <c r="B71" s="92"/>
      <c r="C71" s="112"/>
      <c r="D71" s="93"/>
      <c r="E71" s="95"/>
      <c r="F71" s="2"/>
      <c r="G71" s="97"/>
      <c r="H71" s="97"/>
      <c r="I71" s="81"/>
      <c r="J71" s="81"/>
    </row>
    <row r="72" spans="2:14" ht="34.5" hidden="1" customHeight="1" x14ac:dyDescent="0.25">
      <c r="B72" s="92"/>
      <c r="C72" s="112"/>
      <c r="D72" s="93"/>
      <c r="E72" s="95" t="str">
        <f>'RE TR'!B4</f>
        <v>80x40</v>
      </c>
      <c r="F72" s="176"/>
      <c r="G72" s="83">
        <f>'RE TR'!K4</f>
        <v>0</v>
      </c>
      <c r="H72" s="83">
        <f>'RE TR'!N4</f>
        <v>0.32729072702536871</v>
      </c>
      <c r="I72" s="13">
        <f t="shared" ref="I72:I79" si="4">MAX(G72:H72)</f>
        <v>0.32729072702536871</v>
      </c>
      <c r="J72" s="81"/>
    </row>
    <row r="73" spans="2:14" ht="34.5" hidden="1" customHeight="1" x14ac:dyDescent="0.25">
      <c r="E73" s="95" t="str">
        <f>'RE TR'!B6</f>
        <v>80x80</v>
      </c>
      <c r="F73" s="175" t="str">
        <f>IF(I73&lt;1,E73,"")</f>
        <v>80x80</v>
      </c>
      <c r="G73" s="83">
        <f>'RE TR'!K6</f>
        <v>0</v>
      </c>
      <c r="H73" s="83">
        <f>'RE TR'!N6</f>
        <v>5.8887927359690187E-2</v>
      </c>
      <c r="I73" s="13">
        <f t="shared" si="4"/>
        <v>5.8887927359690187E-2</v>
      </c>
      <c r="J73" s="2"/>
    </row>
    <row r="74" spans="2:14" ht="34.5" hidden="1" customHeight="1" x14ac:dyDescent="0.25">
      <c r="E74" t="str">
        <f>'RE TR'!B8</f>
        <v>80x100</v>
      </c>
      <c r="F74" s="175"/>
      <c r="G74" s="83">
        <f>'RE TR'!K8</f>
        <v>0</v>
      </c>
      <c r="H74" s="83">
        <f>'RE TR'!N8</f>
        <v>2.6934954243467316E-2</v>
      </c>
      <c r="I74" s="13">
        <f t="shared" si="4"/>
        <v>2.6934954243467316E-2</v>
      </c>
    </row>
    <row r="75" spans="2:14" ht="34.5" hidden="1" customHeight="1" x14ac:dyDescent="0.25">
      <c r="E75" s="95" t="str">
        <f>'RE TR'!B10</f>
        <v>80x200</v>
      </c>
      <c r="F75" s="175" t="str">
        <f>IF(I75&lt;1,E75,"")</f>
        <v>80x200</v>
      </c>
      <c r="G75" s="83">
        <f>'RE TR'!K10</f>
        <v>0</v>
      </c>
      <c r="H75" s="83">
        <f>'RE TR'!N10</f>
        <v>3.124644524235607E-2</v>
      </c>
      <c r="I75" s="13">
        <f t="shared" si="4"/>
        <v>3.124644524235607E-2</v>
      </c>
    </row>
    <row r="76" spans="2:14" ht="34.5" hidden="1" customHeight="1" x14ac:dyDescent="0.25">
      <c r="E76" t="str">
        <f>'RE TR'!B5</f>
        <v>80x40S</v>
      </c>
      <c r="F76" s="175" t="str">
        <f>IF(I76&lt;1,E76,"")</f>
        <v>80x40S</v>
      </c>
      <c r="G76" s="83">
        <f>'RE TR'!K5</f>
        <v>0</v>
      </c>
      <c r="H76" s="83">
        <f>'RE TR'!N5</f>
        <v>0.15169443600721533</v>
      </c>
      <c r="I76" s="13">
        <f t="shared" si="4"/>
        <v>0.15169443600721533</v>
      </c>
    </row>
    <row r="77" spans="2:14" ht="34.5" hidden="1" customHeight="1" x14ac:dyDescent="0.25">
      <c r="E77" s="95" t="str">
        <f>'RE TR'!B7</f>
        <v>80x80S</v>
      </c>
      <c r="F77" s="175" t="str">
        <f>IF(I77&lt;1,E77,"")</f>
        <v>80x80S</v>
      </c>
      <c r="G77" s="83">
        <f>'RE TR'!K7</f>
        <v>0</v>
      </c>
      <c r="H77" s="83">
        <f>'RE TR'!N7</f>
        <v>5.7153597624256702E-2</v>
      </c>
      <c r="I77" s="13">
        <f t="shared" si="4"/>
        <v>5.7153597624256702E-2</v>
      </c>
    </row>
    <row r="78" spans="2:14" ht="34.5" hidden="1" customHeight="1" x14ac:dyDescent="0.25">
      <c r="E78" t="str">
        <f>'RE TR'!B9</f>
        <v>80x100S</v>
      </c>
      <c r="F78" s="175" t="str">
        <f>IF(I78&lt;1,E78,"")</f>
        <v>80x100S</v>
      </c>
      <c r="G78" s="83">
        <f>'RE TR'!K9</f>
        <v>0</v>
      </c>
      <c r="H78" s="83">
        <f>'RE TR'!N8</f>
        <v>2.6934954243467316E-2</v>
      </c>
      <c r="I78" s="13">
        <f t="shared" si="4"/>
        <v>2.6934954243467316E-2</v>
      </c>
    </row>
    <row r="79" spans="2:14" ht="34.5" hidden="1" customHeight="1" x14ac:dyDescent="0.25">
      <c r="E79" s="95" t="str">
        <f>'RE TR'!B11</f>
        <v>80x200S</v>
      </c>
      <c r="F79" s="175" t="str">
        <f>IF(I79&lt;1,E79,"")</f>
        <v>80x200S</v>
      </c>
      <c r="G79" s="83">
        <f>'RE TR'!K11</f>
        <v>0</v>
      </c>
      <c r="H79" s="83">
        <f>'RE TR'!N11</f>
        <v>2.104099953212164E-2</v>
      </c>
      <c r="I79" s="13">
        <f t="shared" si="4"/>
        <v>2.104099953212164E-2</v>
      </c>
    </row>
    <row r="80" spans="2:14" ht="34.5" hidden="1" customHeight="1" x14ac:dyDescent="0.25"/>
    <row r="81" spans="2:9" ht="34.5" hidden="1" customHeight="1" x14ac:dyDescent="0.25"/>
    <row r="82" spans="2:9" ht="34.5" hidden="1" customHeight="1" x14ac:dyDescent="0.25">
      <c r="D82" s="84"/>
      <c r="E82" s="81"/>
      <c r="F82" s="95" t="s">
        <v>49</v>
      </c>
      <c r="G82" s="81"/>
    </row>
    <row r="83" spans="2:9" ht="34.5" hidden="1" customHeight="1" x14ac:dyDescent="0.25">
      <c r="B83" s="98" t="s">
        <v>50</v>
      </c>
      <c r="C83" s="98"/>
      <c r="D83" s="81"/>
      <c r="E83" s="100">
        <f>D84</f>
        <v>1.4916650706085688</v>
      </c>
      <c r="F83" s="85" t="str">
        <f>'RE SP'!B13</f>
        <v>130i</v>
      </c>
      <c r="G83" t="str">
        <f>IF(I83&lt;1,F83,"")</f>
        <v/>
      </c>
      <c r="H83" s="83">
        <f>'RE SP'!T13</f>
        <v>1621141.5987373928</v>
      </c>
      <c r="I83" s="99">
        <f t="shared" ref="I83" si="5">H83</f>
        <v>1621141.5987373928</v>
      </c>
    </row>
    <row r="84" spans="2:9" ht="34.5" hidden="1" customHeight="1" x14ac:dyDescent="0.25">
      <c r="B84" s="85">
        <f>'RE SP'!B4</f>
        <v>95</v>
      </c>
      <c r="C84" t="str">
        <f>IF(E83&lt;1,B84,"")</f>
        <v/>
      </c>
      <c r="D84" s="83">
        <f>'RE SP'!T4</f>
        <v>1.4916650706085688</v>
      </c>
      <c r="E84" s="100">
        <f>D85</f>
        <v>0.63983423336611522</v>
      </c>
      <c r="F84" s="85" t="str">
        <f>'RE SP'!B16</f>
        <v>165i</v>
      </c>
      <c r="G84" t="str">
        <f>IF(I84&lt;1,F84,"")</f>
        <v>165i</v>
      </c>
      <c r="H84" s="83">
        <f>'RE SP'!T16</f>
        <v>0.32053384663120726</v>
      </c>
      <c r="I84" s="99">
        <f>H84</f>
        <v>0.32053384663120726</v>
      </c>
    </row>
    <row r="85" spans="2:9" ht="34.5" hidden="1" customHeight="1" x14ac:dyDescent="0.25">
      <c r="B85" s="85" t="str">
        <f>'RE SP'!B6</f>
        <v>135s</v>
      </c>
      <c r="C85" t="str">
        <f>IF(E84&lt;1,B85,"")</f>
        <v>135s</v>
      </c>
      <c r="D85" s="83">
        <f>'RE SP'!T6</f>
        <v>0.63983423336611522</v>
      </c>
      <c r="E85" s="100">
        <f>D86</f>
        <v>0.37677922543592934</v>
      </c>
    </row>
    <row r="86" spans="2:9" ht="34.5" hidden="1" customHeight="1" x14ac:dyDescent="0.25">
      <c r="B86" s="85" t="str">
        <f>'RE SP'!B8</f>
        <v>135b</v>
      </c>
      <c r="C86" t="str">
        <f>IF(E85&lt;1,B86,"")</f>
        <v>135b</v>
      </c>
      <c r="D86" s="83">
        <f>'RE SP'!T8</f>
        <v>0.37677922543592934</v>
      </c>
    </row>
    <row r="87" spans="2:9" ht="34.5" hidden="1" customHeight="1" x14ac:dyDescent="0.25">
      <c r="E87" s="100">
        <f>D88</f>
        <v>0.61809577502569479</v>
      </c>
      <c r="F87" s="85" t="str">
        <f>'RE SP'!B14</f>
        <v>130i - S1</v>
      </c>
      <c r="G87" t="str">
        <f>IF(I87&lt;1,F87,"")</f>
        <v/>
      </c>
      <c r="H87" s="83">
        <f>'RE SP'!T14</f>
        <v>1621141.5987373928</v>
      </c>
      <c r="I87" s="99">
        <f>H87</f>
        <v>1621141.5987373928</v>
      </c>
    </row>
    <row r="88" spans="2:9" ht="34.5" hidden="1" customHeight="1" x14ac:dyDescent="0.25">
      <c r="B88" s="85" t="str">
        <f>'RE SP'!B5</f>
        <v>95 + S</v>
      </c>
      <c r="C88" t="str">
        <f>IF(E87&lt;1,B88,"")</f>
        <v>95 + S</v>
      </c>
      <c r="D88" s="83">
        <f>'RE SP'!T5</f>
        <v>0.61809577502569479</v>
      </c>
      <c r="E88" s="100">
        <f>D89</f>
        <v>0.21071026927712183</v>
      </c>
      <c r="F88" s="85" t="str">
        <f>'RE SP'!B15</f>
        <v>130i - S2</v>
      </c>
      <c r="G88" t="str">
        <f>IF(I88&lt;1,F88,"")</f>
        <v/>
      </c>
      <c r="H88" s="83">
        <f>'RE SP'!T15</f>
        <v>1621141.5987373928</v>
      </c>
      <c r="I88" s="99">
        <f>H88</f>
        <v>1621141.5987373928</v>
      </c>
    </row>
    <row r="89" spans="2:9" ht="34.5" hidden="1" customHeight="1" x14ac:dyDescent="0.25">
      <c r="B89" s="85" t="str">
        <f>'RE SP'!B7</f>
        <v>135s + S</v>
      </c>
      <c r="C89" t="str">
        <f>IF(E88&lt;1,B89,"")</f>
        <v>135s + S</v>
      </c>
      <c r="D89" s="83">
        <f>'RE SP'!T7</f>
        <v>0.21071026927712183</v>
      </c>
      <c r="E89" s="100">
        <f>D90</f>
        <v>0.11487168576922886</v>
      </c>
      <c r="F89" s="85" t="str">
        <f>'RE SP'!B17</f>
        <v>165i + S (V1)</v>
      </c>
      <c r="G89" t="str">
        <f>IF(I89&lt;1,F89,"")</f>
        <v>165i + S (V1)</v>
      </c>
      <c r="H89" s="83">
        <f>'RE SP'!T17</f>
        <v>0.24608874492608004</v>
      </c>
      <c r="I89" s="99">
        <f>H89</f>
        <v>0.24608874492608004</v>
      </c>
    </row>
    <row r="90" spans="2:9" ht="34.5" hidden="1" customHeight="1" x14ac:dyDescent="0.25">
      <c r="B90" s="85" t="str">
        <f>'RE SP'!B9</f>
        <v>135b + S</v>
      </c>
      <c r="C90" t="str">
        <f>IF(E89&lt;1,B90,"")</f>
        <v>135b + S</v>
      </c>
      <c r="D90" s="83">
        <f>'RE SP'!T9</f>
        <v>0.11487168576922886</v>
      </c>
      <c r="F90" s="85" t="str">
        <f>'RE SP'!B18</f>
        <v>165i + S (V2)</v>
      </c>
      <c r="G90" t="str">
        <f>IF(I90&lt;1,F90,"")</f>
        <v>165i + S (V2)</v>
      </c>
      <c r="H90" s="83">
        <f>'RE SP'!T18</f>
        <v>0.21142668578653284</v>
      </c>
      <c r="I90" s="99">
        <f>H90</f>
        <v>0.21142668578653284</v>
      </c>
    </row>
    <row r="91" spans="2:9" ht="34.5" hidden="1" customHeight="1" x14ac:dyDescent="0.25"/>
    <row r="92" spans="2:9" ht="34.5" hidden="1" customHeight="1" x14ac:dyDescent="0.25">
      <c r="E92" s="81"/>
      <c r="F92" s="98" t="s">
        <v>51</v>
      </c>
    </row>
    <row r="93" spans="2:9" ht="34.5" hidden="1" customHeight="1" x14ac:dyDescent="0.25">
      <c r="B93" s="98" t="s">
        <v>51</v>
      </c>
      <c r="C93" s="98"/>
      <c r="D93" s="81"/>
      <c r="E93" s="100">
        <f>D94</f>
        <v>0.85400552012210651</v>
      </c>
      <c r="F93">
        <f>B94</f>
        <v>95</v>
      </c>
      <c r="G93" t="e">
        <f>IF(I93&lt;1,F93,"")</f>
        <v>#DIV/0!</v>
      </c>
      <c r="H93" s="83" t="e">
        <f>'RE SP'!Y21</f>
        <v>#DIV/0!</v>
      </c>
      <c r="I93" s="100" t="e">
        <f t="shared" ref="I93:I95" si="6">H93</f>
        <v>#DIV/0!</v>
      </c>
    </row>
    <row r="94" spans="2:9" ht="34.5" hidden="1" customHeight="1" x14ac:dyDescent="0.25">
      <c r="B94" s="85">
        <f>'RE SP'!B21</f>
        <v>95</v>
      </c>
      <c r="C94">
        <f>IF(E93&lt;1,B94,"")</f>
        <v>95</v>
      </c>
      <c r="D94" s="83">
        <f>'RE SP'!T21</f>
        <v>0.85400552012210651</v>
      </c>
      <c r="E94" s="100">
        <f>D95</f>
        <v>0.36005845691167288</v>
      </c>
      <c r="F94" t="str">
        <f>B95</f>
        <v>135s</v>
      </c>
      <c r="G94" t="e">
        <f>IF(I94&lt;1,F94,"")</f>
        <v>#DIV/0!</v>
      </c>
      <c r="H94" s="83" t="e">
        <f>'RE SP'!Y23</f>
        <v>#DIV/0!</v>
      </c>
      <c r="I94" s="100" t="e">
        <f t="shared" si="6"/>
        <v>#DIV/0!</v>
      </c>
    </row>
    <row r="95" spans="2:9" ht="34.5" hidden="1" customHeight="1" x14ac:dyDescent="0.25">
      <c r="B95" s="85" t="str">
        <f>'RE SP'!B23</f>
        <v>135s</v>
      </c>
      <c r="C95" t="str">
        <f>IF(E94&lt;1,B95,"")</f>
        <v>135s</v>
      </c>
      <c r="D95" s="83">
        <f>'RE SP'!T23</f>
        <v>0.36005845691167288</v>
      </c>
      <c r="E95" s="100">
        <f>D96</f>
        <v>0.20595915717051222</v>
      </c>
      <c r="F95" t="str">
        <f>B96</f>
        <v>135b</v>
      </c>
      <c r="G95" t="e">
        <f>IF(I95&lt;1,F95,"")</f>
        <v>#DIV/0!</v>
      </c>
      <c r="H95" s="83" t="e">
        <f>'RE SP'!Y25</f>
        <v>#DIV/0!</v>
      </c>
      <c r="I95" s="100" t="e">
        <f t="shared" si="6"/>
        <v>#DIV/0!</v>
      </c>
    </row>
    <row r="96" spans="2:9" ht="34.5" hidden="1" customHeight="1" x14ac:dyDescent="0.25">
      <c r="B96" s="85" t="str">
        <f>'RE SP'!B25</f>
        <v>135b</v>
      </c>
      <c r="C96" t="str">
        <f>IF(E95&lt;1,B96,"")</f>
        <v>135b</v>
      </c>
      <c r="D96" s="83">
        <f>'RE SP'!T25</f>
        <v>0.20595915717051222</v>
      </c>
    </row>
    <row r="97" spans="2:9" ht="34.5" hidden="1" customHeight="1" x14ac:dyDescent="0.25"/>
    <row r="98" spans="2:9" ht="34.5" hidden="1" customHeight="1" x14ac:dyDescent="0.25">
      <c r="B98" s="98" t="s">
        <v>52</v>
      </c>
      <c r="E98" s="100">
        <f>D99</f>
        <v>0.32616705673269764</v>
      </c>
      <c r="F98" t="str">
        <f>B99</f>
        <v>95 + S</v>
      </c>
      <c r="G98" t="e">
        <f>IF(I98&lt;1,F98,"")</f>
        <v>#DIV/0!</v>
      </c>
      <c r="H98" s="83" t="e">
        <f>'RE SP'!Y22</f>
        <v>#DIV/0!</v>
      </c>
      <c r="I98" s="100" t="e">
        <f t="shared" ref="I98:I100" si="7">H98</f>
        <v>#DIV/0!</v>
      </c>
    </row>
    <row r="99" spans="2:9" ht="34.5" hidden="1" customHeight="1" x14ac:dyDescent="0.25">
      <c r="B99" s="85" t="str">
        <f>'RE SP'!B22</f>
        <v>95 + S</v>
      </c>
      <c r="C99" t="str">
        <f>IF(E98&lt;1,B99,"")</f>
        <v>95 + S</v>
      </c>
      <c r="D99" s="83">
        <f>'RE SP'!T22</f>
        <v>0.32616705673269764</v>
      </c>
      <c r="E99" s="100">
        <f>D100</f>
        <v>0.10937076478214061</v>
      </c>
      <c r="F99" t="str">
        <f>B100</f>
        <v>135s + S</v>
      </c>
      <c r="G99" t="e">
        <f>IF(I99&lt;1,F99,"")</f>
        <v>#DIV/0!</v>
      </c>
      <c r="H99" s="83" t="e">
        <f>'RE SP'!Y24</f>
        <v>#DIV/0!</v>
      </c>
      <c r="I99" s="100" t="e">
        <f t="shared" si="7"/>
        <v>#DIV/0!</v>
      </c>
    </row>
    <row r="100" spans="2:9" ht="34.5" hidden="1" customHeight="1" x14ac:dyDescent="0.25">
      <c r="B100" s="85" t="str">
        <f>'RE SP'!B24</f>
        <v>135s + S</v>
      </c>
      <c r="C100" t="str">
        <f>IF(E99&lt;1,B100,"")</f>
        <v>135s + S</v>
      </c>
      <c r="D100" s="83">
        <f>'RE SP'!T24</f>
        <v>0.10937076478214061</v>
      </c>
      <c r="E100" s="100">
        <f>D101</f>
        <v>5.8969516722723159E-2</v>
      </c>
      <c r="F100" t="str">
        <f>B101</f>
        <v>135b + S</v>
      </c>
      <c r="G100" t="e">
        <f>IF(I100&lt;1,F100,"")</f>
        <v>#DIV/0!</v>
      </c>
      <c r="H100" s="83" t="e">
        <f>'RE SP'!Y26</f>
        <v>#DIV/0!</v>
      </c>
      <c r="I100" s="100" t="e">
        <f t="shared" si="7"/>
        <v>#DIV/0!</v>
      </c>
    </row>
    <row r="101" spans="2:9" ht="34.5" hidden="1" customHeight="1" x14ac:dyDescent="0.25">
      <c r="B101" s="85" t="str">
        <f>'RE SP'!B26</f>
        <v>135b + S</v>
      </c>
      <c r="C101" t="str">
        <f>IF(E100&lt;1,B101,"")</f>
        <v>135b + S</v>
      </c>
      <c r="D101" s="83">
        <f>'RE SP'!T26</f>
        <v>5.8969516722723159E-2</v>
      </c>
    </row>
    <row r="102" spans="2:9" ht="34.5" hidden="1" customHeight="1" x14ac:dyDescent="0.25"/>
    <row r="103" spans="2:9" ht="34.5" hidden="1" customHeight="1" x14ac:dyDescent="0.25">
      <c r="B103" s="98" t="s">
        <v>53</v>
      </c>
      <c r="E103" s="100" t="e">
        <f>D104</f>
        <v>#DIV/0!</v>
      </c>
      <c r="F103" s="85" t="str">
        <f>'RE SP'!B29</f>
        <v>95 + S</v>
      </c>
      <c r="G103" t="e">
        <f>IF(I103&lt;1,F103,"")</f>
        <v>#DIV/0!</v>
      </c>
      <c r="H103" s="83" t="e">
        <f>'RE SP'!T29</f>
        <v>#DIV/0!</v>
      </c>
      <c r="I103" s="100" t="e">
        <f>H103</f>
        <v>#DIV/0!</v>
      </c>
    </row>
    <row r="104" spans="2:9" ht="34.5" hidden="1" customHeight="1" x14ac:dyDescent="0.25">
      <c r="B104" s="85">
        <f>'RE SP'!B28</f>
        <v>95</v>
      </c>
      <c r="C104" t="e">
        <f>IF(E103&lt;1,B104,"")</f>
        <v>#DIV/0!</v>
      </c>
      <c r="D104" s="83" t="e">
        <f>'RE SP'!T28</f>
        <v>#DIV/0!</v>
      </c>
      <c r="E104" s="100" t="e">
        <f>D105</f>
        <v>#DIV/0!</v>
      </c>
      <c r="F104" s="85" t="str">
        <f>'RE SP'!B31</f>
        <v>135s + S</v>
      </c>
      <c r="G104" t="e">
        <f>IF(I104&lt;1,F104,"")</f>
        <v>#DIV/0!</v>
      </c>
      <c r="H104" s="83" t="e">
        <f>'RE SP'!T31</f>
        <v>#DIV/0!</v>
      </c>
      <c r="I104" s="100" t="e">
        <f>H104</f>
        <v>#DIV/0!</v>
      </c>
    </row>
    <row r="105" spans="2:9" ht="34.5" hidden="1" customHeight="1" x14ac:dyDescent="0.25">
      <c r="B105" s="85" t="str">
        <f>'RE SP'!B30</f>
        <v>135s</v>
      </c>
      <c r="C105" t="e">
        <f>IF(E104&lt;1,B105,"")</f>
        <v>#DIV/0!</v>
      </c>
      <c r="D105" s="83" t="e">
        <f>'RE SP'!T30</f>
        <v>#DIV/0!</v>
      </c>
    </row>
    <row r="106" spans="2:9" ht="34.5" customHeight="1" x14ac:dyDescent="0.25"/>
    <row r="107" spans="2:9" ht="28.5" customHeight="1" x14ac:dyDescent="0.25"/>
    <row r="108" spans="2:9" ht="28.5" customHeight="1" x14ac:dyDescent="0.25"/>
  </sheetData>
  <sheetProtection algorithmName="SHA-512" hashValue="JJ2rbw7zHx88Lh04M7To+patcD6Tm8qUENu2cDprw0q22ntav5DlSj7501uLngrUBubgIQiBow4eBrLlBcEEvg==" saltValue="6jBZJQ77BJwiN4fCd5KUqQ==" spinCount="100000" sheet="1" selectLockedCells="1"/>
  <mergeCells count="2">
    <mergeCell ref="E3:I3"/>
    <mergeCell ref="H4:I4"/>
  </mergeCells>
  <conditionalFormatting sqref="G55:H64 K56:K64 G75:H75 D85:D86 H84 D88:D90 H87:H90 G67:H67 K67 G79:H79 G77:H77">
    <cfRule type="cellIs" dxfId="48" priority="67" operator="lessThan">
      <formula>1</formula>
    </cfRule>
  </conditionalFormatting>
  <conditionalFormatting sqref="G64">
    <cfRule type="cellIs" dxfId="47" priority="64" operator="lessThan">
      <formula>1</formula>
    </cfRule>
  </conditionalFormatting>
  <conditionalFormatting sqref="L55:M55">
    <cfRule type="cellIs" dxfId="46" priority="62" operator="lessThan">
      <formula>1</formula>
    </cfRule>
  </conditionalFormatting>
  <conditionalFormatting sqref="M57">
    <cfRule type="cellIs" dxfId="45" priority="61" operator="lessThan">
      <formula>1</formula>
    </cfRule>
  </conditionalFormatting>
  <conditionalFormatting sqref="M59">
    <cfRule type="cellIs" dxfId="44" priority="60" operator="lessThan">
      <formula>1</formula>
    </cfRule>
  </conditionalFormatting>
  <conditionalFormatting sqref="M61">
    <cfRule type="cellIs" dxfId="43" priority="59" operator="lessThan">
      <formula>1</formula>
    </cfRule>
  </conditionalFormatting>
  <conditionalFormatting sqref="M56">
    <cfRule type="cellIs" dxfId="42" priority="58" operator="lessThan">
      <formula>1</formula>
    </cfRule>
  </conditionalFormatting>
  <conditionalFormatting sqref="M58">
    <cfRule type="cellIs" dxfId="41" priority="57" operator="lessThan">
      <formula>1</formula>
    </cfRule>
  </conditionalFormatting>
  <conditionalFormatting sqref="M60">
    <cfRule type="cellIs" dxfId="40" priority="56" operator="lessThan">
      <formula>1</formula>
    </cfRule>
  </conditionalFormatting>
  <conditionalFormatting sqref="M62">
    <cfRule type="cellIs" dxfId="39" priority="55" operator="lessThan">
      <formula>1</formula>
    </cfRule>
  </conditionalFormatting>
  <conditionalFormatting sqref="M63">
    <cfRule type="cellIs" dxfId="38" priority="54" operator="lessThan">
      <formula>1</formula>
    </cfRule>
  </conditionalFormatting>
  <conditionalFormatting sqref="M64">
    <cfRule type="cellIs" dxfId="37" priority="53" operator="lessThan">
      <formula>1</formula>
    </cfRule>
  </conditionalFormatting>
  <conditionalFormatting sqref="D84">
    <cfRule type="cellIs" dxfId="36" priority="52" operator="lessThan">
      <formula>1</formula>
    </cfRule>
  </conditionalFormatting>
  <conditionalFormatting sqref="D84">
    <cfRule type="cellIs" dxfId="35" priority="51" operator="lessThan">
      <formula>1</formula>
    </cfRule>
  </conditionalFormatting>
  <conditionalFormatting sqref="H83">
    <cfRule type="cellIs" dxfId="34" priority="48" operator="lessThan">
      <formula>1</formula>
    </cfRule>
  </conditionalFormatting>
  <conditionalFormatting sqref="G73">
    <cfRule type="cellIs" dxfId="33" priority="46" operator="lessThan">
      <formula>1</formula>
    </cfRule>
  </conditionalFormatting>
  <conditionalFormatting sqref="G73">
    <cfRule type="cellIs" dxfId="32" priority="45" operator="lessThan">
      <formula>1</formula>
    </cfRule>
  </conditionalFormatting>
  <conditionalFormatting sqref="H73">
    <cfRule type="cellIs" dxfId="31" priority="42" operator="lessThan">
      <formula>1</formula>
    </cfRule>
  </conditionalFormatting>
  <conditionalFormatting sqref="H73">
    <cfRule type="cellIs" dxfId="30" priority="41" operator="lessThan">
      <formula>1</formula>
    </cfRule>
  </conditionalFormatting>
  <conditionalFormatting sqref="K55">
    <cfRule type="cellIs" dxfId="29" priority="38" operator="lessThan">
      <formula>1</formula>
    </cfRule>
  </conditionalFormatting>
  <conditionalFormatting sqref="P55">
    <cfRule type="cellIs" dxfId="28" priority="35" operator="lessThan">
      <formula>1</formula>
    </cfRule>
  </conditionalFormatting>
  <conditionalFormatting sqref="Q55">
    <cfRule type="cellIs" dxfId="27" priority="32" operator="lessThan">
      <formula>1</formula>
    </cfRule>
  </conditionalFormatting>
  <conditionalFormatting sqref="Q56:Q62">
    <cfRule type="cellIs" dxfId="26" priority="31" operator="lessThan">
      <formula>1</formula>
    </cfRule>
  </conditionalFormatting>
  <conditionalFormatting sqref="D95:D96 D99:D101">
    <cfRule type="cellIs" dxfId="25" priority="30" operator="lessThan">
      <formula>1</formula>
    </cfRule>
  </conditionalFormatting>
  <conditionalFormatting sqref="D94">
    <cfRule type="cellIs" dxfId="24" priority="29" operator="lessThan">
      <formula>1</formula>
    </cfRule>
  </conditionalFormatting>
  <conditionalFormatting sqref="D94">
    <cfRule type="cellIs" dxfId="23" priority="28" operator="lessThan">
      <formula>1</formula>
    </cfRule>
  </conditionalFormatting>
  <conditionalFormatting sqref="G67">
    <cfRule type="cellIs" dxfId="22" priority="26" operator="lessThan">
      <formula>1</formula>
    </cfRule>
  </conditionalFormatting>
  <conditionalFormatting sqref="L67:M67">
    <cfRule type="cellIs" dxfId="21" priority="24" operator="lessThan">
      <formula>1</formula>
    </cfRule>
  </conditionalFormatting>
  <conditionalFormatting sqref="G68:H68 K68">
    <cfRule type="cellIs" dxfId="20" priority="23" operator="lessThan">
      <formula>1</formula>
    </cfRule>
  </conditionalFormatting>
  <conditionalFormatting sqref="L68:M68">
    <cfRule type="cellIs" dxfId="19" priority="21" operator="lessThan">
      <formula>1</formula>
    </cfRule>
  </conditionalFormatting>
  <conditionalFormatting sqref="H94:H95 H98:H100">
    <cfRule type="cellIs" dxfId="18" priority="20" operator="lessThan">
      <formula>1</formula>
    </cfRule>
  </conditionalFormatting>
  <conditionalFormatting sqref="H93">
    <cfRule type="cellIs" dxfId="17" priority="19" operator="lessThan">
      <formula>1</formula>
    </cfRule>
  </conditionalFormatting>
  <conditionalFormatting sqref="H93">
    <cfRule type="cellIs" dxfId="16" priority="18" operator="lessThan">
      <formula>1</formula>
    </cfRule>
  </conditionalFormatting>
  <conditionalFormatting sqref="D104:D105">
    <cfRule type="cellIs" dxfId="15" priority="17" operator="lessThan">
      <formula>1</formula>
    </cfRule>
  </conditionalFormatting>
  <conditionalFormatting sqref="H103:H104">
    <cfRule type="cellIs" dxfId="14" priority="16" operator="lessThan">
      <formula>1</formula>
    </cfRule>
  </conditionalFormatting>
  <conditionalFormatting sqref="H72">
    <cfRule type="cellIs" dxfId="13" priority="15" operator="lessThan">
      <formula>1</formula>
    </cfRule>
  </conditionalFormatting>
  <conditionalFormatting sqref="H72">
    <cfRule type="cellIs" dxfId="12" priority="14" operator="lessThan">
      <formula>1</formula>
    </cfRule>
  </conditionalFormatting>
  <conditionalFormatting sqref="G72">
    <cfRule type="cellIs" dxfId="11" priority="13" operator="lessThan">
      <formula>1</formula>
    </cfRule>
  </conditionalFormatting>
  <conditionalFormatting sqref="G72">
    <cfRule type="cellIs" dxfId="10" priority="12" operator="lessThan">
      <formula>1</formula>
    </cfRule>
  </conditionalFormatting>
  <conditionalFormatting sqref="G74">
    <cfRule type="cellIs" dxfId="9" priority="11" operator="lessThan">
      <formula>1</formula>
    </cfRule>
  </conditionalFormatting>
  <conditionalFormatting sqref="G74">
    <cfRule type="cellIs" dxfId="8" priority="10" operator="lessThan">
      <formula>1</formula>
    </cfRule>
  </conditionalFormatting>
  <conditionalFormatting sqref="H74">
    <cfRule type="cellIs" dxfId="7" priority="9" operator="lessThan">
      <formula>1</formula>
    </cfRule>
  </conditionalFormatting>
  <conditionalFormatting sqref="H74">
    <cfRule type="cellIs" dxfId="6" priority="8" operator="lessThan">
      <formula>1</formula>
    </cfRule>
  </conditionalFormatting>
  <conditionalFormatting sqref="G76">
    <cfRule type="cellIs" dxfId="5" priority="7" operator="lessThan">
      <formula>1</formula>
    </cfRule>
  </conditionalFormatting>
  <conditionalFormatting sqref="H76">
    <cfRule type="cellIs" dxfId="4" priority="6" operator="lessThan">
      <formula>1</formula>
    </cfRule>
  </conditionalFormatting>
  <conditionalFormatting sqref="G78">
    <cfRule type="cellIs" dxfId="3" priority="5" operator="lessThan">
      <formula>1</formula>
    </cfRule>
  </conditionalFormatting>
  <conditionalFormatting sqref="H78">
    <cfRule type="cellIs" dxfId="2" priority="3" operator="lessThan">
      <formula>1</formula>
    </cfRule>
  </conditionalFormatting>
  <conditionalFormatting sqref="P56:P62">
    <cfRule type="cellIs" dxfId="1" priority="2" operator="lessThan">
      <formula>1</formula>
    </cfRule>
  </conditionalFormatting>
  <conditionalFormatting sqref="L56:L64">
    <cfRule type="cellIs" dxfId="0" priority="1" operator="lessThan">
      <formula>1</formula>
    </cfRule>
  </conditionalFormatting>
  <dataValidations count="1">
    <dataValidation showDropDown="1" showInputMessage="1" showErrorMessage="1" sqref="N13:O13" xr:uid="{69471390-50DC-4D28-BED4-D2BF9394E842}"/>
  </dataValidations>
  <pageMargins left="3.937007874015748E-2" right="3.937007874015748E-2" top="0" bottom="0" header="0" footer="0"/>
  <pageSetup paperSize="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BF7DE50A-6F57-43BA-95B1-E4EDFF29C639}">
          <x14:formula1>
            <xm:f>DD!$A$5:$A$110</xm:f>
          </x14:formula1>
          <xm:sqref>N7</xm:sqref>
        </x14:dataValidation>
        <x14:dataValidation type="list" allowBlank="1" showInputMessage="1" showErrorMessage="1" xr:uid="{A6CFA194-27B4-4345-8A68-89306597EF4E}">
          <x14:formula1>
            <xm:f>DD!$B$5:$B$50</xm:f>
          </x14:formula1>
          <xm:sqref>N9</xm:sqref>
        </x14:dataValidation>
        <x14:dataValidation type="list" allowBlank="1" showInputMessage="1" showErrorMessage="1" xr:uid="{E9AFB39D-1BCD-4CEE-974C-D3D5B90856DA}">
          <x14:formula1>
            <xm:f>DD!$F$5:$F$10</xm:f>
          </x14:formula1>
          <xm:sqref>N30</xm:sqref>
        </x14:dataValidation>
        <x14:dataValidation type="list" allowBlank="1" showInputMessage="1" showErrorMessage="1" xr:uid="{4AD1F58C-9580-4899-B763-0EF03BB5917B}">
          <x14:formula1>
            <xm:f>DD!$G$5:$G$42</xm:f>
          </x14:formula1>
          <xm:sqref>N31</xm:sqref>
        </x14:dataValidation>
        <x14:dataValidation type="list" allowBlank="1" showInputMessage="1" showErrorMessage="1" xr:uid="{1566F408-C732-426E-962E-82082ED50D7A}">
          <x14:formula1>
            <xm:f>DD!$H$5:$H$17</xm:f>
          </x14:formula1>
          <xm:sqref>N32</xm:sqref>
        </x14:dataValidation>
        <x14:dataValidation type="list" allowBlank="1" showInputMessage="1" showErrorMessage="1" xr:uid="{A482F2D1-6D4E-456E-A980-91FE4E790B08}">
          <x14:formula1>
            <xm:f>DD!#REF!</xm:f>
          </x14:formula1>
          <xm:sqref>AH4:AH5</xm:sqref>
        </x14:dataValidation>
        <x14:dataValidation type="list" allowBlank="1" showInputMessage="1" showErrorMessage="1" xr:uid="{9D0E67D1-AC9F-49C5-80CC-C2307FD29BAA}">
          <x14:formula1>
            <xm:f>DD!$C$5:$C$25</xm:f>
          </x14:formula1>
          <xm:sqref>N11:N12</xm:sqref>
        </x14:dataValidation>
        <x14:dataValidation type="list" allowBlank="1" showInputMessage="1" showErrorMessage="1" xr:uid="{333B85EA-C9A2-478C-9907-60B84514A41F}">
          <x14:formula1>
            <xm:f>DD!$E$5:$E$43</xm:f>
          </x14:formula1>
          <xm:sqref>N26</xm:sqref>
        </x14:dataValidation>
        <x14:dataValidation type="list" allowBlank="1" showInputMessage="1" showErrorMessage="1" xr:uid="{61CF1FDE-DF51-422D-9231-9D84A171C344}">
          <x14:formula1>
            <xm:f>DD!$J$5:$J$55</xm:f>
          </x14:formula1>
          <xm:sqref>N18</xm:sqref>
        </x14:dataValidation>
        <x14:dataValidation type="list" allowBlank="1" showInputMessage="1" showErrorMessage="1" xr:uid="{2BCA44B5-1881-4771-916B-CF420EF15508}">
          <x14:formula1>
            <xm:f>DD!$K$5:$K$20</xm:f>
          </x14:formula1>
          <xm:sqref>N16:N17 N22:N23</xm:sqref>
        </x14:dataValidation>
        <x14:dataValidation type="list" allowBlank="1" showInputMessage="1" showErrorMessage="1" xr:uid="{5305C2DF-FCED-423B-9431-D8E68596A8E5}">
          <x14:formula1>
            <xm:f>DD!$L$5:$L$20</xm:f>
          </x14:formula1>
          <xm:sqref>N10 N24</xm:sqref>
        </x14:dataValidation>
        <x14:dataValidation type="list" allowBlank="1" showInputMessage="1" showErrorMessage="1" xr:uid="{05A7DA53-9C10-4761-A395-A211C4E17C99}">
          <x14:formula1>
            <xm:f>DD!$N$3:$N$4</xm:f>
          </x14:formula1>
          <xm:sqref>N41 N38:N39</xm:sqref>
        </x14:dataValidation>
        <x14:dataValidation type="list" allowBlank="1" showInputMessage="1" showErrorMessage="1" xr:uid="{198CB2FF-2923-452B-AD4A-0CC2D804438C}">
          <x14:formula1>
            <xm:f>DD!$M$5:$M$99</xm:f>
          </x14:formula1>
          <xm:sqref>N8</xm:sqref>
        </x14:dataValidation>
        <x14:dataValidation type="list" allowBlank="1" showInputMessage="1" showErrorMessage="1" xr:uid="{7F430EBE-8BC3-446B-A9BE-254CA52B7C9B}">
          <x14:formula1>
            <xm:f>DD!$O$3:$O$5</xm:f>
          </x14:formula1>
          <xm:sqref>N19</xm:sqref>
        </x14:dataValidation>
        <x14:dataValidation type="list" allowBlank="1" showInputMessage="1" showErrorMessage="1" xr:uid="{7C23BBBA-EEBD-42B5-AC6C-9743C5D59ABA}">
          <x14:formula1>
            <xm:f>DD!$P$3:$P$4</xm:f>
          </x14:formula1>
          <xm:sqref>N35</xm:sqref>
        </x14:dataValidation>
        <x14:dataValidation type="list" allowBlank="1" showInputMessage="1" showErrorMessage="1" xr:uid="{16E6F6F3-2482-422E-A9C8-72289FBCE6CB}">
          <x14:formula1>
            <xm:f>DD!$S$3:$T$3</xm:f>
          </x14:formula1>
          <xm:sqref>E4:E5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7DF72-900C-4EEA-BE63-87B1B61EFE8D}">
  <sheetPr codeName="Tabelle10"/>
  <dimension ref="A1:V83"/>
  <sheetViews>
    <sheetView topLeftCell="A10"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FT2N</f>
        <v>FT170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FT2I</f>
        <v>7070000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494900000000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PF1N</f>
        <v>PF80x80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PF1E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PF1I</f>
        <v>1153400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80738000000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20.218639302435037</v>
      </c>
      <c r="J46" s="13">
        <f>6*(E17*E34)/(E18*E44)</f>
        <v>20.218639302435037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0.51118879094038583</v>
      </c>
      <c r="J47" s="14">
        <f>E17*10^-3*SQRT(E47/(E44*10^-9))</f>
        <v>0.51118879094038583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0.91133911733937922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0.4939163030340068</v>
      </c>
      <c r="F49" s="3" t="s">
        <v>33</v>
      </c>
      <c r="H49" s="12" t="s">
        <v>211</v>
      </c>
      <c r="I49">
        <v>1</v>
      </c>
      <c r="J49">
        <f>J47/(SIN(J47))</f>
        <v>1.0449176842105854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0.51118033133875296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-0.35457255303400681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0.33928870803757599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0.17189162330117772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-0.71416769634383803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4.2785048620346697E-2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-1.0919962649348856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4.2242493884646999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14.399771663366337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-3.5050310535705922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10.894740609795745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3.3697732170725065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0.4242444280340068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3.5379275575867148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-0.91424674241328463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14.399771663366337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-3.5483635943169065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10.85140806904943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0.75358195412611284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1.1754914113809007E-2</v>
      </c>
      <c r="C79">
        <f t="shared" si="2"/>
        <v>2.2927316442411882</v>
      </c>
      <c r="D79">
        <f t="shared" si="2"/>
        <v>4.5203763205639618</v>
      </c>
      <c r="E79">
        <f t="shared" si="2"/>
        <v>6.6241829605817815</v>
      </c>
      <c r="F79">
        <f t="shared" si="2"/>
        <v>8.5523123863065358</v>
      </c>
      <c r="G79">
        <f t="shared" si="2"/>
        <v>10.259837310148514</v>
      </c>
      <c r="H79">
        <f t="shared" si="2"/>
        <v>11.708742334916433</v>
      </c>
      <c r="I79">
        <f t="shared" si="2"/>
        <v>12.867923953817424</v>
      </c>
      <c r="J79">
        <f t="shared" si="2"/>
        <v>13.713190550457028</v>
      </c>
      <c r="K79">
        <f t="shared" si="2"/>
        <v>14.22726239883921</v>
      </c>
      <c r="L79">
        <f t="shared" si="2"/>
        <v>14.399771663366336</v>
      </c>
      <c r="M79">
        <f t="shared" si="2"/>
        <v>14.22726239883921</v>
      </c>
      <c r="N79">
        <f t="shared" si="2"/>
        <v>13.71319055045703</v>
      </c>
      <c r="O79">
        <f t="shared" si="2"/>
        <v>12.867923953817426</v>
      </c>
      <c r="P79">
        <f t="shared" si="2"/>
        <v>11.708742334916433</v>
      </c>
      <c r="Q79">
        <f t="shared" si="2"/>
        <v>10.259837310148514</v>
      </c>
      <c r="R79">
        <f t="shared" si="2"/>
        <v>8.5523123863065358</v>
      </c>
      <c r="S79">
        <f t="shared" si="2"/>
        <v>6.6241829605817815</v>
      </c>
      <c r="T79">
        <f t="shared" si="2"/>
        <v>4.5203763205639618</v>
      </c>
      <c r="U79">
        <f t="shared" si="2"/>
        <v>2.2927316442411882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-3.3264489453785572E-3</v>
      </c>
      <c r="C80">
        <f t="shared" si="3"/>
        <v>-0.62416282326455952</v>
      </c>
      <c r="D80">
        <f t="shared" si="3"/>
        <v>-1.1914228392199757</v>
      </c>
      <c r="E80">
        <f t="shared" si="3"/>
        <v>-1.7003136241148875</v>
      </c>
      <c r="F80">
        <f t="shared" si="3"/>
        <v>-2.1493687541979294</v>
      </c>
      <c r="G80">
        <f t="shared" si="3"/>
        <v>-2.53712180571774</v>
      </c>
      <c r="H80">
        <f t="shared" si="3"/>
        <v>-2.8621063549229544</v>
      </c>
      <c r="I80">
        <f t="shared" si="3"/>
        <v>-3.1228559780622094</v>
      </c>
      <c r="J80">
        <f t="shared" si="3"/>
        <v>-3.3179042513841437</v>
      </c>
      <c r="K80">
        <f t="shared" si="3"/>
        <v>-3.4457847511373916</v>
      </c>
      <c r="L80">
        <f t="shared" si="3"/>
        <v>-3.5050310535705922</v>
      </c>
      <c r="M80">
        <f t="shared" si="3"/>
        <v>-3.4941767349323802</v>
      </c>
      <c r="N80">
        <f t="shared" si="3"/>
        <v>-3.4117553714713931</v>
      </c>
      <c r="O80">
        <f t="shared" si="3"/>
        <v>-3.2563005394362672</v>
      </c>
      <c r="P80">
        <f t="shared" si="3"/>
        <v>-3.0263458150756413</v>
      </c>
      <c r="Q80">
        <f t="shared" si="3"/>
        <v>-2.7204247746381487</v>
      </c>
      <c r="R80">
        <f t="shared" si="3"/>
        <v>-2.3370709943724282</v>
      </c>
      <c r="S80">
        <f t="shared" si="3"/>
        <v>-1.8748180505271173</v>
      </c>
      <c r="T80">
        <f t="shared" si="3"/>
        <v>-1.33219951935085</v>
      </c>
      <c r="U80">
        <f t="shared" si="3"/>
        <v>-0.70774897709226625</v>
      </c>
      <c r="V80">
        <f t="shared" si="3"/>
        <v>0</v>
      </c>
    </row>
    <row r="81" spans="1:22" x14ac:dyDescent="0.25">
      <c r="A81" s="12" t="s">
        <v>258</v>
      </c>
      <c r="B81">
        <f>SUM(B79:B80)*-1</f>
        <v>-8.4284651684304497E-3</v>
      </c>
      <c r="C81">
        <f t="shared" ref="C81:V81" si="4">SUM(C79:C80)*-1</f>
        <v>-1.6685688209766287</v>
      </c>
      <c r="D81">
        <f t="shared" si="4"/>
        <v>-3.3289534813439863</v>
      </c>
      <c r="E81">
        <f t="shared" si="4"/>
        <v>-4.9238693364668942</v>
      </c>
      <c r="F81">
        <f t="shared" si="4"/>
        <v>-6.402943632108606</v>
      </c>
      <c r="G81">
        <f t="shared" si="4"/>
        <v>-7.7227155044307736</v>
      </c>
      <c r="H81">
        <f t="shared" si="4"/>
        <v>-8.8466359799934793</v>
      </c>
      <c r="I81">
        <f t="shared" si="4"/>
        <v>-9.7450679757552159</v>
      </c>
      <c r="J81">
        <f t="shared" si="4"/>
        <v>-10.395286299072884</v>
      </c>
      <c r="K81">
        <f t="shared" si="4"/>
        <v>-10.781477647701818</v>
      </c>
      <c r="L81">
        <f t="shared" si="4"/>
        <v>-10.894740609795743</v>
      </c>
      <c r="M81">
        <f t="shared" si="4"/>
        <v>-10.733085663906831</v>
      </c>
      <c r="N81">
        <f t="shared" si="4"/>
        <v>-10.301435178985637</v>
      </c>
      <c r="O81">
        <f t="shared" si="4"/>
        <v>-9.6116234143811585</v>
      </c>
      <c r="P81">
        <f t="shared" si="4"/>
        <v>-8.6823965198407915</v>
      </c>
      <c r="Q81">
        <f t="shared" si="4"/>
        <v>-7.5394125355103654</v>
      </c>
      <c r="R81">
        <f t="shared" si="4"/>
        <v>-6.2152413919341072</v>
      </c>
      <c r="S81">
        <f t="shared" si="4"/>
        <v>-4.7493649100546644</v>
      </c>
      <c r="T81">
        <f t="shared" si="4"/>
        <v>-3.1881768012131118</v>
      </c>
      <c r="U81">
        <f t="shared" si="4"/>
        <v>-1.584982667148922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-3.619855509716996E-3</v>
      </c>
      <c r="C82">
        <f t="shared" ref="C82:V82" si="5">(((C78-C78^3)*$E$67*10^9+(C77-C77^3)*$E$67*10^9)/(6*$E$34))*$E$18^2*10^-3</f>
        <v>-0.67418908292021262</v>
      </c>
      <c r="D82">
        <f t="shared" si="5"/>
        <v>-1.277410893954086</v>
      </c>
      <c r="E82">
        <f t="shared" si="5"/>
        <v>-1.8096654331016229</v>
      </c>
      <c r="F82">
        <f t="shared" si="5"/>
        <v>-2.27095270036282</v>
      </c>
      <c r="G82">
        <f t="shared" si="5"/>
        <v>-2.6612726957376798</v>
      </c>
      <c r="H82">
        <f t="shared" si="5"/>
        <v>-2.9806254192262016</v>
      </c>
      <c r="I82">
        <f t="shared" si="5"/>
        <v>-3.2290108708283851</v>
      </c>
      <c r="J82">
        <f t="shared" si="5"/>
        <v>-3.4064290505442312</v>
      </c>
      <c r="K82">
        <f t="shared" si="5"/>
        <v>-3.512879958373738</v>
      </c>
      <c r="L82">
        <f t="shared" si="5"/>
        <v>-3.5483635943169065</v>
      </c>
      <c r="M82">
        <f t="shared" si="5"/>
        <v>-3.512879958373738</v>
      </c>
      <c r="N82">
        <f t="shared" si="5"/>
        <v>-3.4064290505442312</v>
      </c>
      <c r="O82">
        <f t="shared" si="5"/>
        <v>-3.2290108708283851</v>
      </c>
      <c r="P82">
        <f t="shared" si="5"/>
        <v>-2.9806254192262016</v>
      </c>
      <c r="Q82">
        <f t="shared" si="5"/>
        <v>-2.6612726957376798</v>
      </c>
      <c r="R82">
        <f t="shared" si="5"/>
        <v>-2.27095270036282</v>
      </c>
      <c r="S82">
        <f t="shared" si="5"/>
        <v>-1.8096654331016229</v>
      </c>
      <c r="T82">
        <f t="shared" si="5"/>
        <v>-1.277410893954086</v>
      </c>
      <c r="U82">
        <f t="shared" si="5"/>
        <v>-0.67418908292021262</v>
      </c>
      <c r="V82">
        <f t="shared" si="5"/>
        <v>0</v>
      </c>
    </row>
    <row r="83" spans="1:22" x14ac:dyDescent="0.25">
      <c r="A83" s="12" t="s">
        <v>259</v>
      </c>
      <c r="B83">
        <f>SUM(B79+B82)</f>
        <v>8.1350586040920114E-3</v>
      </c>
      <c r="C83">
        <f t="shared" ref="C83:V83" si="6">SUM(C79+C82)</f>
        <v>1.6185425613209756</v>
      </c>
      <c r="D83">
        <f t="shared" si="6"/>
        <v>3.2429654266098757</v>
      </c>
      <c r="E83">
        <f t="shared" si="6"/>
        <v>4.8145175274801586</v>
      </c>
      <c r="F83">
        <f t="shared" si="6"/>
        <v>6.2813596859437162</v>
      </c>
      <c r="G83">
        <f t="shared" si="6"/>
        <v>7.5985646144108347</v>
      </c>
      <c r="H83">
        <f t="shared" si="6"/>
        <v>8.7281169156902312</v>
      </c>
      <c r="I83">
        <f t="shared" si="6"/>
        <v>9.6389130829890384</v>
      </c>
      <c r="J83">
        <f t="shared" si="6"/>
        <v>10.306761499912797</v>
      </c>
      <c r="K83">
        <f t="shared" si="6"/>
        <v>10.714382440465473</v>
      </c>
      <c r="L83">
        <f t="shared" si="6"/>
        <v>10.851408069049429</v>
      </c>
      <c r="M83">
        <f t="shared" si="6"/>
        <v>10.714382440465473</v>
      </c>
      <c r="N83">
        <f t="shared" si="6"/>
        <v>10.306761499912799</v>
      </c>
      <c r="O83">
        <f t="shared" si="6"/>
        <v>9.6389130829890419</v>
      </c>
      <c r="P83">
        <f t="shared" si="6"/>
        <v>8.7281169156902312</v>
      </c>
      <c r="Q83">
        <f t="shared" si="6"/>
        <v>7.5985646144108347</v>
      </c>
      <c r="R83">
        <f t="shared" si="6"/>
        <v>6.2813596859437162</v>
      </c>
      <c r="S83">
        <f t="shared" si="6"/>
        <v>4.8145175274801586</v>
      </c>
      <c r="T83">
        <f t="shared" si="6"/>
        <v>3.2429654266098757</v>
      </c>
      <c r="U83">
        <f t="shared" si="6"/>
        <v>1.6185425613209756</v>
      </c>
      <c r="V83">
        <f t="shared" si="6"/>
        <v>0</v>
      </c>
    </row>
  </sheetData>
  <sheetProtection algorithmName="SHA-512" hashValue="qucp3udNIN7+4IbYdNANolMBFNWzoePlhXUlWANIEuydzP7q2C0Hf4CGJVtp4yVR/0O1e0MQHJc5oLidmfpTMw==" saltValue="mcZX3f6/Ou+S4hnd/0Rv0w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5D7D9-23CB-4EE5-A54F-C9C97C28D6FA}">
  <sheetPr codeName="Tabelle11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WIB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FT2N</f>
        <v>FT170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FT2E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FT2I</f>
        <v>7070000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494900000000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176517600000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9.2478738664019904</v>
      </c>
      <c r="J46" s="13">
        <f>6*(E17*E34)/(E18*E44)</f>
        <v>9.2478738664019904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0.34572143648666392</v>
      </c>
      <c r="J47" s="14">
        <f>E17*10^-3*SQRT(E47/(E44*10^-9))</f>
        <v>0.34572143648666392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0.9598377759529495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0.74897539329188967</v>
      </c>
      <c r="F49" s="3" t="s">
        <v>33</v>
      </c>
      <c r="H49" s="12" t="s">
        <v>211</v>
      </c>
      <c r="I49">
        <v>1</v>
      </c>
      <c r="J49">
        <f>J47/(SIN(J47))</f>
        <v>1.0202018759994058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0.50504039099115094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-0.60963164329188979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0.33602000725905562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0.16902038373209588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-1.2787051989258316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4.2170777580715225E-2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-1.6371822836139371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2.0944524682404411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14.399771663366337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-5.6585539265128189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8.7412177368535176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1.5413123110669984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0.67930351829188973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2.9882752180809771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-1.4638990819190223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14.399771663366337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-5.6816677238837308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8.7181039394826065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0.60543348486989224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1.1754914113809007E-2</v>
      </c>
      <c r="C79">
        <f t="shared" si="2"/>
        <v>2.2927316442411882</v>
      </c>
      <c r="D79">
        <f t="shared" si="2"/>
        <v>4.5203763205639618</v>
      </c>
      <c r="E79">
        <f t="shared" si="2"/>
        <v>6.6241829605817815</v>
      </c>
      <c r="F79">
        <f t="shared" si="2"/>
        <v>8.5523123863065358</v>
      </c>
      <c r="G79">
        <f t="shared" si="2"/>
        <v>10.259837310148514</v>
      </c>
      <c r="H79">
        <f t="shared" si="2"/>
        <v>11.708742334916433</v>
      </c>
      <c r="I79">
        <f t="shared" si="2"/>
        <v>12.867923953817424</v>
      </c>
      <c r="J79">
        <f t="shared" si="2"/>
        <v>13.713190550457028</v>
      </c>
      <c r="K79">
        <f t="shared" si="2"/>
        <v>14.22726239883921</v>
      </c>
      <c r="L79">
        <f t="shared" si="2"/>
        <v>14.399771663366336</v>
      </c>
      <c r="M79">
        <f t="shared" si="2"/>
        <v>14.22726239883921</v>
      </c>
      <c r="N79">
        <f t="shared" si="2"/>
        <v>13.71319055045703</v>
      </c>
      <c r="O79">
        <f t="shared" si="2"/>
        <v>12.867923953817426</v>
      </c>
      <c r="P79">
        <f t="shared" si="2"/>
        <v>11.708742334916433</v>
      </c>
      <c r="Q79">
        <f t="shared" si="2"/>
        <v>10.259837310148514</v>
      </c>
      <c r="R79">
        <f t="shared" si="2"/>
        <v>8.5523123863065358</v>
      </c>
      <c r="S79">
        <f t="shared" si="2"/>
        <v>6.6241829605817815</v>
      </c>
      <c r="T79">
        <f t="shared" si="2"/>
        <v>4.5203763205639618</v>
      </c>
      <c r="U79">
        <f t="shared" si="2"/>
        <v>2.2927316442411882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-5.536124167946745E-3</v>
      </c>
      <c r="C80">
        <f t="shared" si="3"/>
        <v>-1.0354727114816387</v>
      </c>
      <c r="D80">
        <f t="shared" si="3"/>
        <v>-1.9702961974506401</v>
      </c>
      <c r="E80">
        <f t="shared" si="3"/>
        <v>-2.8030791409050493</v>
      </c>
      <c r="F80">
        <f t="shared" si="3"/>
        <v>-3.532430224842904</v>
      </c>
      <c r="G80">
        <f t="shared" si="3"/>
        <v>-4.1569581322622513</v>
      </c>
      <c r="H80">
        <f t="shared" si="3"/>
        <v>-4.6752715461611309</v>
      </c>
      <c r="I80">
        <f t="shared" si="3"/>
        <v>-5.0859791495375841</v>
      </c>
      <c r="J80">
        <f t="shared" si="3"/>
        <v>-5.3876896253896565</v>
      </c>
      <c r="K80">
        <f t="shared" si="3"/>
        <v>-5.5790116567153865</v>
      </c>
      <c r="L80">
        <f t="shared" si="3"/>
        <v>-5.6585539265128171</v>
      </c>
      <c r="M80">
        <f t="shared" si="3"/>
        <v>-5.624925117779993</v>
      </c>
      <c r="N80">
        <f t="shared" si="3"/>
        <v>-5.4767339135149555</v>
      </c>
      <c r="O80">
        <f t="shared" si="3"/>
        <v>-5.2125889967157448</v>
      </c>
      <c r="P80">
        <f t="shared" si="3"/>
        <v>-4.8310990503804039</v>
      </c>
      <c r="Q80">
        <f t="shared" si="3"/>
        <v>-4.3308727575069765</v>
      </c>
      <c r="R80">
        <f t="shared" si="3"/>
        <v>-3.7105188010935022</v>
      </c>
      <c r="S80">
        <f t="shared" si="3"/>
        <v>-2.9686458641380269</v>
      </c>
      <c r="T80">
        <f t="shared" si="3"/>
        <v>-2.1038626296385887</v>
      </c>
      <c r="U80">
        <f t="shared" si="3"/>
        <v>-1.1147777805932333</v>
      </c>
      <c r="V80">
        <f t="shared" si="3"/>
        <v>0</v>
      </c>
    </row>
    <row r="81" spans="1:22" x14ac:dyDescent="0.25">
      <c r="A81" s="12" t="s">
        <v>258</v>
      </c>
      <c r="B81">
        <f>SUM(B79:B80)*-1</f>
        <v>-6.2187899458622624E-3</v>
      </c>
      <c r="C81">
        <f t="shared" ref="C81:V81" si="4">SUM(C79:C80)*-1</f>
        <v>-1.2572589327595496</v>
      </c>
      <c r="D81">
        <f t="shared" si="4"/>
        <v>-2.5500801231133217</v>
      </c>
      <c r="E81">
        <f t="shared" si="4"/>
        <v>-3.8211038196767322</v>
      </c>
      <c r="F81">
        <f t="shared" si="4"/>
        <v>-5.0198821614636318</v>
      </c>
      <c r="G81">
        <f t="shared" si="4"/>
        <v>-6.1028791778862628</v>
      </c>
      <c r="H81">
        <f t="shared" si="4"/>
        <v>-7.0334707887553023</v>
      </c>
      <c r="I81">
        <f t="shared" si="4"/>
        <v>-7.7819448042798403</v>
      </c>
      <c r="J81">
        <f t="shared" si="4"/>
        <v>-8.3255009250673719</v>
      </c>
      <c r="K81">
        <f t="shared" si="4"/>
        <v>-8.6482507421238246</v>
      </c>
      <c r="L81">
        <f t="shared" si="4"/>
        <v>-8.7412177368535176</v>
      </c>
      <c r="M81">
        <f t="shared" si="4"/>
        <v>-8.6023372810592171</v>
      </c>
      <c r="N81">
        <f t="shared" si="4"/>
        <v>-8.2364566369420746</v>
      </c>
      <c r="O81">
        <f t="shared" si="4"/>
        <v>-7.6553349571016813</v>
      </c>
      <c r="P81">
        <f t="shared" si="4"/>
        <v>-6.8776432845360294</v>
      </c>
      <c r="Q81">
        <f t="shared" si="4"/>
        <v>-5.9289645526415375</v>
      </c>
      <c r="R81">
        <f t="shared" si="4"/>
        <v>-4.8417935852130336</v>
      </c>
      <c r="S81">
        <f t="shared" si="4"/>
        <v>-3.6555370964437546</v>
      </c>
      <c r="T81">
        <f t="shared" si="4"/>
        <v>-2.416513690925373</v>
      </c>
      <c r="U81">
        <f t="shared" si="4"/>
        <v>-1.177953863647955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-5.7961411416862004E-3</v>
      </c>
      <c r="C82">
        <f t="shared" ref="C82:V82" si="5">(((C78-C78^3)*$E$67*10^9+(C77-C77^3)*$E$67*10^9)/(6*$E$34))*$E$18^2*10^-3</f>
        <v>-1.0795168675379094</v>
      </c>
      <c r="D82">
        <f t="shared" si="5"/>
        <v>-2.0454003805981427</v>
      </c>
      <c r="E82">
        <f t="shared" si="5"/>
        <v>-2.8976505391807028</v>
      </c>
      <c r="F82">
        <f t="shared" si="5"/>
        <v>-3.6362673432855863</v>
      </c>
      <c r="G82">
        <f t="shared" si="5"/>
        <v>-4.2612507929127981</v>
      </c>
      <c r="H82">
        <f t="shared" si="5"/>
        <v>-4.7726008880623327</v>
      </c>
      <c r="I82">
        <f t="shared" si="5"/>
        <v>-5.1703176287341943</v>
      </c>
      <c r="J82">
        <f t="shared" si="5"/>
        <v>-5.4544010149283801</v>
      </c>
      <c r="K82">
        <f t="shared" si="5"/>
        <v>-5.6248510466448929</v>
      </c>
      <c r="L82">
        <f t="shared" si="5"/>
        <v>-5.6816677238837299</v>
      </c>
      <c r="M82">
        <f t="shared" si="5"/>
        <v>-5.6248510466448929</v>
      </c>
      <c r="N82">
        <f t="shared" si="5"/>
        <v>-5.4544010149283801</v>
      </c>
      <c r="O82">
        <f t="shared" si="5"/>
        <v>-5.1703176287341943</v>
      </c>
      <c r="P82">
        <f t="shared" si="5"/>
        <v>-4.7726008880623327</v>
      </c>
      <c r="Q82">
        <f t="shared" si="5"/>
        <v>-4.2612507929127981</v>
      </c>
      <c r="R82">
        <f t="shared" si="5"/>
        <v>-3.6362673432855863</v>
      </c>
      <c r="S82">
        <f t="shared" si="5"/>
        <v>-2.8976505391807028</v>
      </c>
      <c r="T82">
        <f t="shared" si="5"/>
        <v>-2.0454003805981427</v>
      </c>
      <c r="U82">
        <f t="shared" si="5"/>
        <v>-1.0795168675379094</v>
      </c>
      <c r="V82">
        <f t="shared" si="5"/>
        <v>0</v>
      </c>
    </row>
    <row r="83" spans="1:22" x14ac:dyDescent="0.25">
      <c r="A83" s="12" t="s">
        <v>259</v>
      </c>
      <c r="B83">
        <f>SUM(B79+B82)</f>
        <v>5.9587729721228069E-3</v>
      </c>
      <c r="C83">
        <f t="shared" ref="C83:V83" si="6">SUM(C79+C82)</f>
        <v>1.2132147767032788</v>
      </c>
      <c r="D83">
        <f t="shared" si="6"/>
        <v>2.4749759399658191</v>
      </c>
      <c r="E83">
        <f t="shared" si="6"/>
        <v>3.7265324214010787</v>
      </c>
      <c r="F83">
        <f t="shared" si="6"/>
        <v>4.916045043020949</v>
      </c>
      <c r="G83">
        <f t="shared" si="6"/>
        <v>5.998586517235716</v>
      </c>
      <c r="H83">
        <f t="shared" si="6"/>
        <v>6.9361414468541005</v>
      </c>
      <c r="I83">
        <f t="shared" si="6"/>
        <v>7.6976063250832301</v>
      </c>
      <c r="J83">
        <f t="shared" si="6"/>
        <v>8.2587895355286491</v>
      </c>
      <c r="K83">
        <f t="shared" si="6"/>
        <v>8.6024113521943164</v>
      </c>
      <c r="L83">
        <f t="shared" si="6"/>
        <v>8.7181039394826065</v>
      </c>
      <c r="M83">
        <f t="shared" si="6"/>
        <v>8.6024113521943164</v>
      </c>
      <c r="N83">
        <f t="shared" si="6"/>
        <v>8.2587895355286491</v>
      </c>
      <c r="O83">
        <f t="shared" si="6"/>
        <v>7.6976063250832318</v>
      </c>
      <c r="P83">
        <f t="shared" si="6"/>
        <v>6.9361414468541005</v>
      </c>
      <c r="Q83">
        <f t="shared" si="6"/>
        <v>5.998586517235716</v>
      </c>
      <c r="R83">
        <f t="shared" si="6"/>
        <v>4.916045043020949</v>
      </c>
      <c r="S83">
        <f t="shared" si="6"/>
        <v>3.7265324214010787</v>
      </c>
      <c r="T83">
        <f t="shared" si="6"/>
        <v>2.4749759399658191</v>
      </c>
      <c r="U83">
        <f t="shared" si="6"/>
        <v>1.2132147767032788</v>
      </c>
      <c r="V83">
        <f t="shared" si="6"/>
        <v>0</v>
      </c>
    </row>
  </sheetData>
  <sheetProtection algorithmName="SHA-512" hashValue="OxRhXG1IWzXedlGFtdEoyoO0fRP7sNcKLR21pNqQYPdyvr3rLdop6jyQaReaDtHgIejeAx02k7LdMaLxeLbN5A==" saltValue="UInMhpl9xyhjtCLz8t/K6w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D7783-9902-4697-B60C-48D35B071AFC}">
  <sheetPr codeName="Tabelle12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>
        <f>MAX(PFAE:PFBE)*LLFT</f>
        <v>0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FT3N</f>
        <v>FT205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FT3I</f>
        <v>11840710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828849700000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PF1N</f>
        <v>PF80x80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PF1E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PF1I</f>
        <v>1153400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80738000000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33.861816771532609</v>
      </c>
      <c r="J46" s="13">
        <f>6*(E17*E34)/(E18*E44)</f>
        <v>33.861816771532609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0.51118879094038583</v>
      </c>
      <c r="J47" s="14">
        <f>E17*10^-3*SQRT(E47/(E44*10^-9))</f>
        <v>0.51118879094038583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0.91133911733937922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0.35887671633622653</v>
      </c>
      <c r="F49" s="3" t="s">
        <v>33</v>
      </c>
      <c r="H49" s="12" t="s">
        <v>211</v>
      </c>
      <c r="I49">
        <v>1</v>
      </c>
      <c r="J49">
        <f>J47/(SIN(J47))</f>
        <v>1.0449176842105854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0.51118033133875296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-0.21953296633622654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0.33928870803757599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0.17189162330117772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-0.42673648576621198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4.2785048620346697E-2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-0.80238772580904993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3.9846156911445672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8.5979967130349451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-1.4242038005164042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7.1737929125185413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5.6436361285887688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0.28920484133622654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3.8289378669204313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-0.62323643307956822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8.5979967130349451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-1.4443059346697411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7.1536907783652044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0.83201831974649298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7.0187719135617463E-3</v>
      </c>
      <c r="C79">
        <f t="shared" si="2"/>
        <v>1.3689730366494237</v>
      </c>
      <c r="D79">
        <f t="shared" si="2"/>
        <v>2.6990831281559302</v>
      </c>
      <c r="E79">
        <f t="shared" si="2"/>
        <v>3.955250447930335</v>
      </c>
      <c r="F79">
        <f t="shared" si="2"/>
        <v>5.1065222078057158</v>
      </c>
      <c r="G79">
        <f t="shared" si="2"/>
        <v>6.1260726580373976</v>
      </c>
      <c r="H79">
        <f t="shared" si="2"/>
        <v>6.9912030873029716</v>
      </c>
      <c r="I79">
        <f t="shared" si="2"/>
        <v>7.6833418227022872</v>
      </c>
      <c r="J79">
        <f t="shared" si="2"/>
        <v>8.1880442297574376</v>
      </c>
      <c r="K79">
        <f t="shared" si="2"/>
        <v>8.4949927124127864</v>
      </c>
      <c r="L79">
        <f t="shared" si="2"/>
        <v>8.5979967130349451</v>
      </c>
      <c r="M79">
        <f t="shared" si="2"/>
        <v>8.4949927124127882</v>
      </c>
      <c r="N79">
        <f t="shared" si="2"/>
        <v>8.1880442297574376</v>
      </c>
      <c r="O79">
        <f t="shared" si="2"/>
        <v>7.6833418227022872</v>
      </c>
      <c r="P79">
        <f t="shared" si="2"/>
        <v>6.9912030873029734</v>
      </c>
      <c r="Q79">
        <f t="shared" si="2"/>
        <v>6.1260726580373976</v>
      </c>
      <c r="R79">
        <f t="shared" si="2"/>
        <v>5.1065222078057158</v>
      </c>
      <c r="S79">
        <f t="shared" si="2"/>
        <v>3.955250447930335</v>
      </c>
      <c r="T79">
        <f t="shared" si="2"/>
        <v>2.6990831281559302</v>
      </c>
      <c r="U79">
        <f t="shared" si="2"/>
        <v>1.3689730366494239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-1.3049598795962221E-3</v>
      </c>
      <c r="C80">
        <f t="shared" si="3"/>
        <v>-0.24578819166851423</v>
      </c>
      <c r="D80">
        <f t="shared" si="3"/>
        <v>-0.47092721167289042</v>
      </c>
      <c r="E80">
        <f t="shared" si="3"/>
        <v>-0.67454651508577468</v>
      </c>
      <c r="F80">
        <f t="shared" si="3"/>
        <v>-0.85577555697981178</v>
      </c>
      <c r="G80">
        <f t="shared" si="3"/>
        <v>-1.0137437924276484</v>
      </c>
      <c r="H80">
        <f t="shared" si="3"/>
        <v>-1.1475806765019285</v>
      </c>
      <c r="I80">
        <f t="shared" si="3"/>
        <v>-1.2564156642752988</v>
      </c>
      <c r="J80">
        <f t="shared" si="3"/>
        <v>-1.3393782108204049</v>
      </c>
      <c r="K80">
        <f t="shared" si="3"/>
        <v>-1.3955977712098913</v>
      </c>
      <c r="L80">
        <f t="shared" si="3"/>
        <v>-1.4242038005164046</v>
      </c>
      <c r="M80">
        <f t="shared" si="3"/>
        <v>-1.4243257538125893</v>
      </c>
      <c r="N80">
        <f t="shared" si="3"/>
        <v>-1.3950930861710915</v>
      </c>
      <c r="O80">
        <f t="shared" si="3"/>
        <v>-1.3356352526645567</v>
      </c>
      <c r="P80">
        <f t="shared" si="3"/>
        <v>-1.2450817083656305</v>
      </c>
      <c r="Q80">
        <f t="shared" si="3"/>
        <v>-1.1225619083469585</v>
      </c>
      <c r="R80">
        <f t="shared" si="3"/>
        <v>-0.96720530768118551</v>
      </c>
      <c r="S80">
        <f t="shared" si="3"/>
        <v>-0.77814136144095802</v>
      </c>
      <c r="T80">
        <f t="shared" si="3"/>
        <v>-0.5544995246989205</v>
      </c>
      <c r="U80">
        <f t="shared" si="3"/>
        <v>-0.29540925252771966</v>
      </c>
      <c r="V80">
        <f t="shared" si="3"/>
        <v>0</v>
      </c>
    </row>
    <row r="81" spans="1:22" x14ac:dyDescent="0.25">
      <c r="A81" s="12" t="s">
        <v>258</v>
      </c>
      <c r="B81">
        <f>SUM(B79:B80)*-1</f>
        <v>-5.7138120339655244E-3</v>
      </c>
      <c r="C81">
        <f t="shared" ref="C81:V81" si="4">SUM(C79:C80)*-1</f>
        <v>-1.1231848449809094</v>
      </c>
      <c r="D81">
        <f t="shared" si="4"/>
        <v>-2.2281559164830398</v>
      </c>
      <c r="E81">
        <f t="shared" si="4"/>
        <v>-3.2807039328445602</v>
      </c>
      <c r="F81">
        <f t="shared" si="4"/>
        <v>-4.2507466508259037</v>
      </c>
      <c r="G81">
        <f t="shared" si="4"/>
        <v>-5.112328865609749</v>
      </c>
      <c r="H81">
        <f t="shared" si="4"/>
        <v>-5.8436224108010428</v>
      </c>
      <c r="I81">
        <f t="shared" si="4"/>
        <v>-6.4269261584269888</v>
      </c>
      <c r="J81">
        <f t="shared" si="4"/>
        <v>-6.848666018937033</v>
      </c>
      <c r="K81">
        <f t="shared" si="4"/>
        <v>-7.0993949412028954</v>
      </c>
      <c r="L81">
        <f t="shared" si="4"/>
        <v>-7.1737929125185405</v>
      </c>
      <c r="M81">
        <f t="shared" si="4"/>
        <v>-7.0706669586001993</v>
      </c>
      <c r="N81">
        <f t="shared" si="4"/>
        <v>-6.7929511435863459</v>
      </c>
      <c r="O81">
        <f t="shared" si="4"/>
        <v>-6.3477065700377304</v>
      </c>
      <c r="P81">
        <f t="shared" si="4"/>
        <v>-5.7461213789373424</v>
      </c>
      <c r="Q81">
        <f t="shared" si="4"/>
        <v>-5.003510749690439</v>
      </c>
      <c r="R81">
        <f t="shared" si="4"/>
        <v>-4.1393169001245305</v>
      </c>
      <c r="S81">
        <f t="shared" si="4"/>
        <v>-3.1771090864893772</v>
      </c>
      <c r="T81">
        <f t="shared" si="4"/>
        <v>-2.1445836034570096</v>
      </c>
      <c r="U81">
        <f t="shared" si="4"/>
        <v>-1.0735637841217043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-1.4734056013044211E-3</v>
      </c>
      <c r="C82">
        <f t="shared" ref="C82:V82" si="5">(((C78-C78^3)*$E$67*10^9+(C77-C77^3)*$E$67*10^9)/(6*$E$34))*$E$18^2*10^-3</f>
        <v>-0.27441812758725098</v>
      </c>
      <c r="D82">
        <f t="shared" si="5"/>
        <v>-0.51995013648110677</v>
      </c>
      <c r="E82">
        <f t="shared" si="5"/>
        <v>-0.73659602668156798</v>
      </c>
      <c r="F82">
        <f t="shared" si="5"/>
        <v>-0.92435579818863434</v>
      </c>
      <c r="G82">
        <f t="shared" si="5"/>
        <v>-1.0832294510023059</v>
      </c>
      <c r="H82">
        <f t="shared" si="5"/>
        <v>-1.2132169851225827</v>
      </c>
      <c r="I82">
        <f t="shared" si="5"/>
        <v>-1.3143184005494644</v>
      </c>
      <c r="J82">
        <f t="shared" si="5"/>
        <v>-1.3865336972829516</v>
      </c>
      <c r="K82">
        <f t="shared" si="5"/>
        <v>-1.4298628753230438</v>
      </c>
      <c r="L82">
        <f t="shared" si="5"/>
        <v>-1.4443059346697413</v>
      </c>
      <c r="M82">
        <f t="shared" si="5"/>
        <v>-1.4298628753230438</v>
      </c>
      <c r="N82">
        <f t="shared" si="5"/>
        <v>-1.3865336972829516</v>
      </c>
      <c r="O82">
        <f t="shared" si="5"/>
        <v>-1.3143184005494644</v>
      </c>
      <c r="P82">
        <f t="shared" si="5"/>
        <v>-1.2132169851225827</v>
      </c>
      <c r="Q82">
        <f t="shared" si="5"/>
        <v>-1.0832294510023059</v>
      </c>
      <c r="R82">
        <f t="shared" si="5"/>
        <v>-0.92435579818863434</v>
      </c>
      <c r="S82">
        <f t="shared" si="5"/>
        <v>-0.73659602668156798</v>
      </c>
      <c r="T82">
        <f t="shared" si="5"/>
        <v>-0.51995013648110677</v>
      </c>
      <c r="U82">
        <f t="shared" si="5"/>
        <v>-0.27441812758725098</v>
      </c>
      <c r="V82">
        <f t="shared" si="5"/>
        <v>0</v>
      </c>
    </row>
    <row r="83" spans="1:22" x14ac:dyDescent="0.25">
      <c r="A83" s="12" t="s">
        <v>259</v>
      </c>
      <c r="B83">
        <f>SUM(B79+B82)</f>
        <v>5.5453663122573254E-3</v>
      </c>
      <c r="C83">
        <f t="shared" ref="C83:V83" si="6">SUM(C79+C82)</f>
        <v>1.0945549090621727</v>
      </c>
      <c r="D83">
        <f t="shared" si="6"/>
        <v>2.1791329916748232</v>
      </c>
      <c r="E83">
        <f t="shared" si="6"/>
        <v>3.2186544212487669</v>
      </c>
      <c r="F83">
        <f t="shared" si="6"/>
        <v>4.1821664096170812</v>
      </c>
      <c r="G83">
        <f t="shared" si="6"/>
        <v>5.0428432070350917</v>
      </c>
      <c r="H83">
        <f t="shared" si="6"/>
        <v>5.7779861021803889</v>
      </c>
      <c r="I83">
        <f t="shared" si="6"/>
        <v>6.3690234221528232</v>
      </c>
      <c r="J83">
        <f t="shared" si="6"/>
        <v>6.8015105324744862</v>
      </c>
      <c r="K83">
        <f t="shared" si="6"/>
        <v>7.0651298370897422</v>
      </c>
      <c r="L83">
        <f t="shared" si="6"/>
        <v>7.1536907783652035</v>
      </c>
      <c r="M83">
        <f t="shared" si="6"/>
        <v>7.065129837089744</v>
      </c>
      <c r="N83">
        <f t="shared" si="6"/>
        <v>6.8015105324744862</v>
      </c>
      <c r="O83">
        <f t="shared" si="6"/>
        <v>6.3690234221528232</v>
      </c>
      <c r="P83">
        <f t="shared" si="6"/>
        <v>5.7779861021803907</v>
      </c>
      <c r="Q83">
        <f t="shared" si="6"/>
        <v>5.0428432070350917</v>
      </c>
      <c r="R83">
        <f t="shared" si="6"/>
        <v>4.1821664096170812</v>
      </c>
      <c r="S83">
        <f t="shared" si="6"/>
        <v>3.2186544212487669</v>
      </c>
      <c r="T83">
        <f t="shared" si="6"/>
        <v>2.1791329916748232</v>
      </c>
      <c r="U83">
        <f t="shared" si="6"/>
        <v>1.0945549090621729</v>
      </c>
      <c r="V83">
        <f t="shared" si="6"/>
        <v>0</v>
      </c>
    </row>
  </sheetData>
  <sheetProtection algorithmName="SHA-512" hashValue="cZBRSoUyP7pZhgWCpZFfI2ln8qbc2gmA+LGJqRuW26UF11YE76fHxITrSLNJ3YqV++qZIcfAf6CHBdgQMteAOA==" saltValue="xZsxtUNId1ZmAfDIxIJWZg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ECF9A-1C29-4F4E-ADC8-D26008EC5718}">
  <sheetPr codeName="Tabelle13"/>
  <dimension ref="A1:V83"/>
  <sheetViews>
    <sheetView topLeftCell="A4"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FT3N</f>
        <v>FT205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FT3E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FT3I</f>
        <v>11840710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828849700000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176517600000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15.488174337856394</v>
      </c>
      <c r="J46" s="13">
        <f>6*(E17*E34)/(E18*E44)</f>
        <v>15.488174337856394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0.34572143648666392</v>
      </c>
      <c r="J47" s="14">
        <f>E17*10^-3*SQRT(E47/(E44*10^-9))</f>
        <v>0.34572143648666392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0.9598377759529495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0.5758690601299139</v>
      </c>
      <c r="F49" s="3" t="s">
        <v>33</v>
      </c>
      <c r="H49" s="12" t="s">
        <v>211</v>
      </c>
      <c r="I49">
        <v>1</v>
      </c>
      <c r="J49">
        <f>J47/(SIN(J47))</f>
        <v>1.0202018759994058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0.50504039099115094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-0.43652531012991397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0.33602000725905562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0.16902038373209588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-0.90706396299959402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4.2170777580715225E-2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-1.2635804640145627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1.87867340500003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8.5979967130349451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-2.515156737951882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6.0828399750830631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2.5813623896427327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0.50619718512991396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3.3613193660450351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-1.0908549339549645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8.5979967130349451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-2.5279784225544093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6.0700182904805358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0.70598053163687746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7.0187719135617463E-3</v>
      </c>
      <c r="C79">
        <f t="shared" si="2"/>
        <v>1.3689730366494237</v>
      </c>
      <c r="D79">
        <f t="shared" si="2"/>
        <v>2.6990831281559302</v>
      </c>
      <c r="E79">
        <f t="shared" si="2"/>
        <v>3.955250447930335</v>
      </c>
      <c r="F79">
        <f t="shared" si="2"/>
        <v>5.1065222078057158</v>
      </c>
      <c r="G79">
        <f t="shared" si="2"/>
        <v>6.1260726580373976</v>
      </c>
      <c r="H79">
        <f t="shared" si="2"/>
        <v>6.9912030873029716</v>
      </c>
      <c r="I79">
        <f t="shared" si="2"/>
        <v>7.6833418227022872</v>
      </c>
      <c r="J79">
        <f t="shared" si="2"/>
        <v>8.1880442297574376</v>
      </c>
      <c r="K79">
        <f t="shared" si="2"/>
        <v>8.4949927124127864</v>
      </c>
      <c r="L79">
        <f t="shared" si="2"/>
        <v>8.5979967130349451</v>
      </c>
      <c r="M79">
        <f t="shared" si="2"/>
        <v>8.4949927124127882</v>
      </c>
      <c r="N79">
        <f t="shared" si="2"/>
        <v>8.1880442297574376</v>
      </c>
      <c r="O79">
        <f t="shared" si="2"/>
        <v>7.6833418227022872</v>
      </c>
      <c r="P79">
        <f t="shared" si="2"/>
        <v>6.9912030873029734</v>
      </c>
      <c r="Q79">
        <f t="shared" si="2"/>
        <v>6.1260726580373976</v>
      </c>
      <c r="R79">
        <f t="shared" si="2"/>
        <v>5.1065222078057158</v>
      </c>
      <c r="S79">
        <f t="shared" si="2"/>
        <v>3.955250447930335</v>
      </c>
      <c r="T79">
        <f t="shared" si="2"/>
        <v>2.6990831281559302</v>
      </c>
      <c r="U79">
        <f t="shared" si="2"/>
        <v>1.3689730366494239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-2.425428801308905E-3</v>
      </c>
      <c r="C80">
        <f t="shared" si="3"/>
        <v>-0.45433303643841966</v>
      </c>
      <c r="D80">
        <f t="shared" si="3"/>
        <v>-0.86579875194067635</v>
      </c>
      <c r="E80">
        <f t="shared" si="3"/>
        <v>-1.2335709449708963</v>
      </c>
      <c r="F80">
        <f t="shared" si="3"/>
        <v>-1.5568234139932031</v>
      </c>
      <c r="G80">
        <f t="shared" si="3"/>
        <v>-1.8347299574717226</v>
      </c>
      <c r="H80">
        <f t="shared" si="3"/>
        <v>-2.0664643738705801</v>
      </c>
      <c r="I80">
        <f t="shared" si="3"/>
        <v>-2.2512004616538994</v>
      </c>
      <c r="J80">
        <f t="shared" si="3"/>
        <v>-2.3881120192858067</v>
      </c>
      <c r="K80">
        <f t="shared" si="3"/>
        <v>-2.4763728452304252</v>
      </c>
      <c r="L80">
        <f t="shared" si="3"/>
        <v>-2.515156737951882</v>
      </c>
      <c r="M80">
        <f t="shared" si="3"/>
        <v>-2.5036374959143011</v>
      </c>
      <c r="N80">
        <f t="shared" si="3"/>
        <v>-2.4409889175818074</v>
      </c>
      <c r="O80">
        <f t="shared" si="3"/>
        <v>-2.3263848014185262</v>
      </c>
      <c r="P80">
        <f t="shared" si="3"/>
        <v>-2.1589989458885821</v>
      </c>
      <c r="Q80">
        <f t="shared" si="3"/>
        <v>-1.9380051494561008</v>
      </c>
      <c r="R80">
        <f t="shared" si="3"/>
        <v>-1.6625772105852059</v>
      </c>
      <c r="S80">
        <f t="shared" si="3"/>
        <v>-1.3318889277400239</v>
      </c>
      <c r="T80">
        <f t="shared" si="3"/>
        <v>-0.9451140993846785</v>
      </c>
      <c r="U80">
        <f t="shared" si="3"/>
        <v>-0.50142652398329612</v>
      </c>
      <c r="V80">
        <f t="shared" si="3"/>
        <v>0</v>
      </c>
    </row>
    <row r="81" spans="1:22" x14ac:dyDescent="0.25">
      <c r="A81" s="12" t="s">
        <v>258</v>
      </c>
      <c r="B81">
        <f>SUM(B79:B80)*-1</f>
        <v>-4.5933431122528413E-3</v>
      </c>
      <c r="C81">
        <f t="shared" ref="C81:V81" si="4">SUM(C79:C80)*-1</f>
        <v>-0.914640000211004</v>
      </c>
      <c r="D81">
        <f t="shared" si="4"/>
        <v>-1.833284376215254</v>
      </c>
      <c r="E81">
        <f t="shared" si="4"/>
        <v>-2.7216795029594385</v>
      </c>
      <c r="F81">
        <f t="shared" si="4"/>
        <v>-3.5496987938125129</v>
      </c>
      <c r="G81">
        <f t="shared" si="4"/>
        <v>-4.291342700565675</v>
      </c>
      <c r="H81">
        <f t="shared" si="4"/>
        <v>-4.9247387134323919</v>
      </c>
      <c r="I81">
        <f t="shared" si="4"/>
        <v>-5.4321413610483873</v>
      </c>
      <c r="J81">
        <f t="shared" si="4"/>
        <v>-5.7999322104716313</v>
      </c>
      <c r="K81">
        <f t="shared" si="4"/>
        <v>-6.0186198671823607</v>
      </c>
      <c r="L81">
        <f t="shared" si="4"/>
        <v>-6.0828399750830631</v>
      </c>
      <c r="M81">
        <f t="shared" si="4"/>
        <v>-5.9913552164984871</v>
      </c>
      <c r="N81">
        <f t="shared" si="4"/>
        <v>-5.7470553121756307</v>
      </c>
      <c r="O81">
        <f t="shared" si="4"/>
        <v>-5.3569570212837609</v>
      </c>
      <c r="P81">
        <f t="shared" si="4"/>
        <v>-4.8322041414143913</v>
      </c>
      <c r="Q81">
        <f t="shared" si="4"/>
        <v>-4.1880675085812964</v>
      </c>
      <c r="R81">
        <f t="shared" si="4"/>
        <v>-3.4439449972205098</v>
      </c>
      <c r="S81">
        <f t="shared" si="4"/>
        <v>-2.6233615201903113</v>
      </c>
      <c r="T81">
        <f t="shared" si="4"/>
        <v>-1.7539690287712517</v>
      </c>
      <c r="U81">
        <f t="shared" si="4"/>
        <v>-0.86754651266612781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-2.5789117654079915E-3</v>
      </c>
      <c r="C82">
        <f t="shared" ref="C82:V82" si="5">(((C78-C78^3)*$E$67*10^9+(C77-C77^3)*$E$67*10^9)/(6*$E$34))*$E$18^2*10^-3</f>
        <v>-0.4803159002853381</v>
      </c>
      <c r="D82">
        <f t="shared" si="5"/>
        <v>-0.91007223211958721</v>
      </c>
      <c r="E82">
        <f t="shared" si="5"/>
        <v>-1.2892689955027492</v>
      </c>
      <c r="F82">
        <f t="shared" si="5"/>
        <v>-1.6179061904348222</v>
      </c>
      <c r="G82">
        <f t="shared" si="5"/>
        <v>-1.8959838169158074</v>
      </c>
      <c r="H82">
        <f t="shared" si="5"/>
        <v>-2.123501874945704</v>
      </c>
      <c r="I82">
        <f t="shared" si="5"/>
        <v>-2.300460364524513</v>
      </c>
      <c r="J82">
        <f t="shared" si="5"/>
        <v>-2.4268592856522333</v>
      </c>
      <c r="K82">
        <f t="shared" si="5"/>
        <v>-2.5026986383288659</v>
      </c>
      <c r="L82">
        <f t="shared" si="5"/>
        <v>-2.5279784225544093</v>
      </c>
      <c r="M82">
        <f t="shared" si="5"/>
        <v>-2.5026986383288659</v>
      </c>
      <c r="N82">
        <f t="shared" si="5"/>
        <v>-2.4268592856522333</v>
      </c>
      <c r="O82">
        <f t="shared" si="5"/>
        <v>-2.300460364524513</v>
      </c>
      <c r="P82">
        <f t="shared" si="5"/>
        <v>-2.123501874945704</v>
      </c>
      <c r="Q82">
        <f t="shared" si="5"/>
        <v>-1.8959838169158074</v>
      </c>
      <c r="R82">
        <f t="shared" si="5"/>
        <v>-1.6179061904348222</v>
      </c>
      <c r="S82">
        <f t="shared" si="5"/>
        <v>-1.2892689955027492</v>
      </c>
      <c r="T82">
        <f t="shared" si="5"/>
        <v>-0.91007223211958721</v>
      </c>
      <c r="U82">
        <f t="shared" si="5"/>
        <v>-0.4803159002853381</v>
      </c>
      <c r="V82">
        <f t="shared" si="5"/>
        <v>0</v>
      </c>
    </row>
    <row r="83" spans="1:22" x14ac:dyDescent="0.25">
      <c r="A83" s="12" t="s">
        <v>259</v>
      </c>
      <c r="B83">
        <f>SUM(B79+B82)</f>
        <v>4.4398601481537552E-3</v>
      </c>
      <c r="C83">
        <f t="shared" ref="C83:V83" si="6">SUM(C79+C82)</f>
        <v>0.88865713636408561</v>
      </c>
      <c r="D83">
        <f t="shared" si="6"/>
        <v>1.7890108960363431</v>
      </c>
      <c r="E83">
        <f t="shared" si="6"/>
        <v>2.6659814524275856</v>
      </c>
      <c r="F83">
        <f t="shared" si="6"/>
        <v>3.4886160173708936</v>
      </c>
      <c r="G83">
        <f t="shared" si="6"/>
        <v>4.2300888411215904</v>
      </c>
      <c r="H83">
        <f t="shared" si="6"/>
        <v>4.867701212357268</v>
      </c>
      <c r="I83">
        <f t="shared" si="6"/>
        <v>5.3828814581777742</v>
      </c>
      <c r="J83">
        <f t="shared" si="6"/>
        <v>5.7611849441052048</v>
      </c>
      <c r="K83">
        <f t="shared" si="6"/>
        <v>5.9922940740839206</v>
      </c>
      <c r="L83">
        <f t="shared" si="6"/>
        <v>6.0700182904805358</v>
      </c>
      <c r="M83">
        <f t="shared" si="6"/>
        <v>5.9922940740839223</v>
      </c>
      <c r="N83">
        <f t="shared" si="6"/>
        <v>5.7611849441052048</v>
      </c>
      <c r="O83">
        <f t="shared" si="6"/>
        <v>5.3828814581777742</v>
      </c>
      <c r="P83">
        <f t="shared" si="6"/>
        <v>4.8677012123572698</v>
      </c>
      <c r="Q83">
        <f t="shared" si="6"/>
        <v>4.2300888411215904</v>
      </c>
      <c r="R83">
        <f t="shared" si="6"/>
        <v>3.4886160173708936</v>
      </c>
      <c r="S83">
        <f t="shared" si="6"/>
        <v>2.6659814524275856</v>
      </c>
      <c r="T83">
        <f t="shared" si="6"/>
        <v>1.7890108960363431</v>
      </c>
      <c r="U83">
        <f t="shared" si="6"/>
        <v>0.88865713636408583</v>
      </c>
      <c r="V83">
        <f t="shared" si="6"/>
        <v>0</v>
      </c>
    </row>
  </sheetData>
  <sheetProtection algorithmName="SHA-512" hashValue="ztnm2A6MB1xe1Z+J09PI9cMmHoAfWoT+AOrqHcCTDhgumsJk+I9zwePSLgngGx1J8XBpRF/rwRop16Ew+A0Kog==" saltValue="bchQbTI45z60e3rPkA0X4A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DD8B1-80A6-4699-95F7-54D6EBEC1957}">
  <sheetPr codeName="Tabelle14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FT4N</f>
        <v>FT240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FT4I</f>
        <v>22280000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1559600000000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PF1N</f>
        <v>PF80x80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PF1E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PF1I</f>
        <v>1153400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80738000000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63.715881705552</v>
      </c>
      <c r="J46" s="13">
        <f>6*(E17*E34)/(E18*E44)</f>
        <v>63.715881705552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0.51118879094038583</v>
      </c>
      <c r="J47" s="14">
        <f>E17*10^-3*SQRT(E47/(E44*10^-9))</f>
        <v>0.51118879094038583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0.91133911733937922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0.24014144269345006</v>
      </c>
      <c r="F49" s="3" t="s">
        <v>33</v>
      </c>
      <c r="H49" s="12" t="s">
        <v>211</v>
      </c>
      <c r="I49">
        <v>1</v>
      </c>
      <c r="J49">
        <f>J47/(SIN(J47))</f>
        <v>1.0449176842105854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0.51118033133875296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-0.10079769269345007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0.33928870803757599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0.17189162330117772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-0.17462253392919874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4.2785048620346697E-2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-0.54877660155642127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3.8198390148020445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4.5694068967684025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-0.44546840838701557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4.1239384883813868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10.619313617591999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0.17046956769345006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4.0848123816206146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-0.36736191837938487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4.5694068967684025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-0.45244214723206105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4.1169647495363417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0.90098449154264659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3.7301275935650671E-3</v>
      </c>
      <c r="C79">
        <f t="shared" si="2"/>
        <v>0.72754096610346508</v>
      </c>
      <c r="D79">
        <f t="shared" si="2"/>
        <v>1.4344282130335371</v>
      </c>
      <c r="E79">
        <f t="shared" si="2"/>
        <v>2.1020185606514001</v>
      </c>
      <c r="F79">
        <f t="shared" si="2"/>
        <v>2.7138621441286901</v>
      </c>
      <c r="G79">
        <f t="shared" si="2"/>
        <v>3.2557024139474859</v>
      </c>
      <c r="H79">
        <f t="shared" si="2"/>
        <v>3.7154761359003219</v>
      </c>
      <c r="I79">
        <f t="shared" si="2"/>
        <v>4.0833133910901793</v>
      </c>
      <c r="J79">
        <f t="shared" si="2"/>
        <v>4.3515375759304842</v>
      </c>
      <c r="K79">
        <f t="shared" si="2"/>
        <v>4.5146654021451171</v>
      </c>
      <c r="L79">
        <f t="shared" si="2"/>
        <v>4.5694068967684016</v>
      </c>
      <c r="M79">
        <f t="shared" si="2"/>
        <v>4.5146654021451171</v>
      </c>
      <c r="N79">
        <f t="shared" si="2"/>
        <v>4.3515375759304851</v>
      </c>
      <c r="O79">
        <f t="shared" si="2"/>
        <v>4.0833133910901793</v>
      </c>
      <c r="P79">
        <f t="shared" si="2"/>
        <v>3.7154761359003219</v>
      </c>
      <c r="Q79">
        <f t="shared" si="2"/>
        <v>3.2557024139474859</v>
      </c>
      <c r="R79">
        <f t="shared" si="2"/>
        <v>2.7138621441286901</v>
      </c>
      <c r="S79">
        <f t="shared" si="2"/>
        <v>2.1020185606514001</v>
      </c>
      <c r="T79">
        <f t="shared" si="2"/>
        <v>1.4344282130335371</v>
      </c>
      <c r="U79">
        <f t="shared" si="2"/>
        <v>0.72754096610346497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-3.7613501122691311E-4</v>
      </c>
      <c r="C80">
        <f t="shared" si="3"/>
        <v>-7.1505988300571005E-2</v>
      </c>
      <c r="D80">
        <f t="shared" si="3"/>
        <v>-0.13824987452591592</v>
      </c>
      <c r="E80">
        <f t="shared" si="3"/>
        <v>-0.19977085133242223</v>
      </c>
      <c r="F80">
        <f t="shared" si="3"/>
        <v>-0.2556081113764771</v>
      </c>
      <c r="G80">
        <f t="shared" si="3"/>
        <v>-0.30530084731446783</v>
      </c>
      <c r="H80">
        <f t="shared" si="3"/>
        <v>-0.34838825180278177</v>
      </c>
      <c r="I80">
        <f t="shared" si="3"/>
        <v>-0.38440951749780622</v>
      </c>
      <c r="J80">
        <f t="shared" si="3"/>
        <v>-0.41290383705592848</v>
      </c>
      <c r="K80">
        <f t="shared" si="3"/>
        <v>-0.43341040313353585</v>
      </c>
      <c r="L80">
        <f t="shared" si="3"/>
        <v>-0.44546840838701551</v>
      </c>
      <c r="M80">
        <f t="shared" si="3"/>
        <v>-0.44861704547275505</v>
      </c>
      <c r="N80">
        <f t="shared" si="3"/>
        <v>-0.44239550704714142</v>
      </c>
      <c r="O80">
        <f t="shared" si="3"/>
        <v>-0.4263429857665621</v>
      </c>
      <c r="P80">
        <f t="shared" si="3"/>
        <v>-0.39999867428740438</v>
      </c>
      <c r="Q80">
        <f t="shared" si="3"/>
        <v>-0.36290176526605555</v>
      </c>
      <c r="R80">
        <f t="shared" si="3"/>
        <v>-0.31459145135890276</v>
      </c>
      <c r="S80">
        <f t="shared" si="3"/>
        <v>-0.25460692522233369</v>
      </c>
      <c r="T80">
        <f t="shared" si="3"/>
        <v>-0.18248737951273525</v>
      </c>
      <c r="U80">
        <f t="shared" si="3"/>
        <v>-9.7772006886495011E-2</v>
      </c>
      <c r="V80">
        <f t="shared" si="3"/>
        <v>0</v>
      </c>
    </row>
    <row r="81" spans="1:22" x14ac:dyDescent="0.25">
      <c r="A81" s="12" t="s">
        <v>258</v>
      </c>
      <c r="B81">
        <f>SUM(B79:B80)*-1</f>
        <v>-3.3539925823381539E-3</v>
      </c>
      <c r="C81">
        <f t="shared" ref="C81:V81" si="4">SUM(C79:C80)*-1</f>
        <v>-0.6560349778028941</v>
      </c>
      <c r="D81">
        <f t="shared" si="4"/>
        <v>-1.2961783385076211</v>
      </c>
      <c r="E81">
        <f t="shared" si="4"/>
        <v>-1.9022477093189778</v>
      </c>
      <c r="F81">
        <f t="shared" si="4"/>
        <v>-2.4582540327522131</v>
      </c>
      <c r="G81">
        <f t="shared" si="4"/>
        <v>-2.9504015666330181</v>
      </c>
      <c r="H81">
        <f t="shared" si="4"/>
        <v>-3.3670878840975402</v>
      </c>
      <c r="I81">
        <f t="shared" si="4"/>
        <v>-3.6989038735923732</v>
      </c>
      <c r="J81">
        <f t="shared" si="4"/>
        <v>-3.9386337388745556</v>
      </c>
      <c r="K81">
        <f t="shared" si="4"/>
        <v>-4.0812549990115814</v>
      </c>
      <c r="L81">
        <f t="shared" si="4"/>
        <v>-4.1239384883813859</v>
      </c>
      <c r="M81">
        <f t="shared" si="4"/>
        <v>-4.0660483566723622</v>
      </c>
      <c r="N81">
        <f t="shared" si="4"/>
        <v>-3.9091420688833436</v>
      </c>
      <c r="O81">
        <f t="shared" si="4"/>
        <v>-3.6569704053236172</v>
      </c>
      <c r="P81">
        <f t="shared" si="4"/>
        <v>-3.3154774616129177</v>
      </c>
      <c r="Q81">
        <f t="shared" si="4"/>
        <v>-2.8928006486814306</v>
      </c>
      <c r="R81">
        <f t="shared" si="4"/>
        <v>-2.3992706927697873</v>
      </c>
      <c r="S81">
        <f t="shared" si="4"/>
        <v>-1.8474116354290664</v>
      </c>
      <c r="T81">
        <f t="shared" si="4"/>
        <v>-1.2519408335208018</v>
      </c>
      <c r="U81">
        <f t="shared" si="4"/>
        <v>-0.62976895921696996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-4.6155788603773334E-4</v>
      </c>
      <c r="C82">
        <f t="shared" ref="C82:V82" si="5">(((C78-C78^3)*$E$67*10^9+(C77-C77^3)*$E$67*10^9)/(6*$E$34))*$E$18^2*10^-3</f>
        <v>-8.5964007974091663E-2</v>
      </c>
      <c r="D82">
        <f t="shared" si="5"/>
        <v>-0.16287917300354196</v>
      </c>
      <c r="E82">
        <f t="shared" si="5"/>
        <v>-0.23074549508835118</v>
      </c>
      <c r="F82">
        <f t="shared" si="5"/>
        <v>-0.28956297422851901</v>
      </c>
      <c r="G82">
        <f t="shared" si="5"/>
        <v>-0.33933161042404586</v>
      </c>
      <c r="H82">
        <f t="shared" si="5"/>
        <v>-0.38005140367493129</v>
      </c>
      <c r="I82">
        <f t="shared" si="5"/>
        <v>-0.41172235398117563</v>
      </c>
      <c r="J82">
        <f t="shared" si="5"/>
        <v>-0.4343444613427786</v>
      </c>
      <c r="K82">
        <f t="shared" si="5"/>
        <v>-0.44791772575974043</v>
      </c>
      <c r="L82">
        <f t="shared" si="5"/>
        <v>-0.45244214723206116</v>
      </c>
      <c r="M82">
        <f t="shared" si="5"/>
        <v>-0.44791772575974043</v>
      </c>
      <c r="N82">
        <f t="shared" si="5"/>
        <v>-0.4343444613427786</v>
      </c>
      <c r="O82">
        <f t="shared" si="5"/>
        <v>-0.41172235398117563</v>
      </c>
      <c r="P82">
        <f t="shared" si="5"/>
        <v>-0.38005140367493129</v>
      </c>
      <c r="Q82">
        <f t="shared" si="5"/>
        <v>-0.33933161042404586</v>
      </c>
      <c r="R82">
        <f t="shared" si="5"/>
        <v>-0.28956297422851901</v>
      </c>
      <c r="S82">
        <f t="shared" si="5"/>
        <v>-0.23074549508835118</v>
      </c>
      <c r="T82">
        <f t="shared" si="5"/>
        <v>-0.16287917300354196</v>
      </c>
      <c r="U82">
        <f t="shared" si="5"/>
        <v>-8.5964007974091663E-2</v>
      </c>
      <c r="V82">
        <f t="shared" si="5"/>
        <v>0</v>
      </c>
    </row>
    <row r="83" spans="1:22" x14ac:dyDescent="0.25">
      <c r="A83" s="12" t="s">
        <v>259</v>
      </c>
      <c r="B83">
        <f>SUM(B79+B82)</f>
        <v>3.2685697075273338E-3</v>
      </c>
      <c r="C83">
        <f t="shared" ref="C83:V83" si="6">SUM(C79+C82)</f>
        <v>0.64157695812937343</v>
      </c>
      <c r="D83">
        <f t="shared" si="6"/>
        <v>1.2715490400299951</v>
      </c>
      <c r="E83">
        <f t="shared" si="6"/>
        <v>1.871273065563049</v>
      </c>
      <c r="F83">
        <f t="shared" si="6"/>
        <v>2.4242991699001712</v>
      </c>
      <c r="G83">
        <f t="shared" si="6"/>
        <v>2.9163708035234399</v>
      </c>
      <c r="H83">
        <f t="shared" si="6"/>
        <v>3.3354247322253907</v>
      </c>
      <c r="I83">
        <f t="shared" si="6"/>
        <v>3.6715910371090037</v>
      </c>
      <c r="J83">
        <f t="shared" si="6"/>
        <v>3.9171931145877057</v>
      </c>
      <c r="K83">
        <f t="shared" si="6"/>
        <v>4.0667476763853765</v>
      </c>
      <c r="L83">
        <f t="shared" si="6"/>
        <v>4.1169647495363408</v>
      </c>
      <c r="M83">
        <f t="shared" si="6"/>
        <v>4.0667476763853765</v>
      </c>
      <c r="N83">
        <f t="shared" si="6"/>
        <v>3.9171931145877066</v>
      </c>
      <c r="O83">
        <f t="shared" si="6"/>
        <v>3.6715910371090037</v>
      </c>
      <c r="P83">
        <f t="shared" si="6"/>
        <v>3.3354247322253907</v>
      </c>
      <c r="Q83">
        <f t="shared" si="6"/>
        <v>2.9163708035234399</v>
      </c>
      <c r="R83">
        <f t="shared" si="6"/>
        <v>2.4242991699001712</v>
      </c>
      <c r="S83">
        <f t="shared" si="6"/>
        <v>1.871273065563049</v>
      </c>
      <c r="T83">
        <f t="shared" si="6"/>
        <v>1.2715490400299951</v>
      </c>
      <c r="U83">
        <f t="shared" si="6"/>
        <v>0.64157695812937332</v>
      </c>
      <c r="V83">
        <f t="shared" si="6"/>
        <v>0</v>
      </c>
    </row>
  </sheetData>
  <sheetProtection algorithmName="SHA-512" hashValue="uOA168K+FGxNYdopN0haYrpYww4aR3MNHJoQj0kWlGqTba0aNcx5Ienix1nudkoxM+ZC/E5PWXJNoLmN2gqYtw==" saltValue="vKq0qlP/hQqot7zmfhnYDg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65115-ACC1-47D2-ACF2-7B2AD0B0CBF9}">
  <sheetPr codeName="Tabelle15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FT4N</f>
        <v>FT240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FT4E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FT4I</f>
        <v>22280000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1559600000000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176517600000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29.143229100910375</v>
      </c>
      <c r="J46" s="13">
        <f>6*(E17*E34)/(E18*E44)</f>
        <v>29.143229100910375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0.34572143648666392</v>
      </c>
      <c r="J47" s="14">
        <f>E17*10^-3*SQRT(E47/(E44*10^-9))</f>
        <v>0.34572143648666392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0.9598377759529495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0.39465340412013544</v>
      </c>
      <c r="F49" s="3" t="s">
        <v>33</v>
      </c>
      <c r="H49" s="12" t="s">
        <v>211</v>
      </c>
      <c r="I49">
        <v>1</v>
      </c>
      <c r="J49">
        <f>J47/(SIN(J47))</f>
        <v>1.0202018759994058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0.50504039099115094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-0.25530965412013545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0.33602000725905562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0.16902038373209588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-0.51846491439691267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4.2170777580715225E-2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-0.87363260903368012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1.7302256846763799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4.5694068967684025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-0.85725215536210653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3.7121547414062959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4.8572048501517289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0.32498152912013545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3.7518391047461073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-0.70033519525389198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4.5694068967684025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-0.86253131767355462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3.7068755790948478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0.81123779581031441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3.7301275935650671E-3</v>
      </c>
      <c r="C79">
        <f t="shared" si="2"/>
        <v>0.72754096610346508</v>
      </c>
      <c r="D79">
        <f t="shared" si="2"/>
        <v>1.4344282130335371</v>
      </c>
      <c r="E79">
        <f t="shared" si="2"/>
        <v>2.1020185606514001</v>
      </c>
      <c r="F79">
        <f t="shared" si="2"/>
        <v>2.7138621441286901</v>
      </c>
      <c r="G79">
        <f t="shared" si="2"/>
        <v>3.2557024139474859</v>
      </c>
      <c r="H79">
        <f t="shared" si="2"/>
        <v>3.7154761359003219</v>
      </c>
      <c r="I79">
        <f t="shared" si="2"/>
        <v>4.0833133910901793</v>
      </c>
      <c r="J79">
        <f t="shared" si="2"/>
        <v>4.3515375759304842</v>
      </c>
      <c r="K79">
        <f t="shared" si="2"/>
        <v>4.5146654021451171</v>
      </c>
      <c r="L79">
        <f t="shared" si="2"/>
        <v>4.5694068967684016</v>
      </c>
      <c r="M79">
        <f t="shared" si="2"/>
        <v>4.5146654021451171</v>
      </c>
      <c r="N79">
        <f t="shared" si="2"/>
        <v>4.3515375759304851</v>
      </c>
      <c r="O79">
        <f t="shared" si="2"/>
        <v>4.0833133910901793</v>
      </c>
      <c r="P79">
        <f t="shared" si="2"/>
        <v>3.7154761359003219</v>
      </c>
      <c r="Q79">
        <f t="shared" si="2"/>
        <v>3.2557024139474859</v>
      </c>
      <c r="R79">
        <f t="shared" si="2"/>
        <v>2.7138621441286901</v>
      </c>
      <c r="S79">
        <f t="shared" si="2"/>
        <v>2.1020185606514001</v>
      </c>
      <c r="T79">
        <f t="shared" si="2"/>
        <v>1.4344282130335371</v>
      </c>
      <c r="U79">
        <f t="shared" si="2"/>
        <v>0.72754096610346497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-8.0018907315305239E-4</v>
      </c>
      <c r="C80">
        <f t="shared" si="3"/>
        <v>-0.15041133214385699</v>
      </c>
      <c r="D80">
        <f t="shared" si="3"/>
        <v>-0.28761443508834844</v>
      </c>
      <c r="E80">
        <f t="shared" si="3"/>
        <v>-0.411171885065933</v>
      </c>
      <c r="F80">
        <f t="shared" si="3"/>
        <v>-0.52064625830906852</v>
      </c>
      <c r="G80">
        <f t="shared" si="3"/>
        <v>-0.61560013105021283</v>
      </c>
      <c r="H80">
        <f t="shared" si="3"/>
        <v>-0.69559607952182467</v>
      </c>
      <c r="I80">
        <f t="shared" si="3"/>
        <v>-0.76019667995636164</v>
      </c>
      <c r="J80">
        <f t="shared" si="3"/>
        <v>-0.80896450858628233</v>
      </c>
      <c r="K80">
        <f t="shared" si="3"/>
        <v>-0.84146214164404454</v>
      </c>
      <c r="L80">
        <f t="shared" si="3"/>
        <v>-0.85725215536210664</v>
      </c>
      <c r="M80">
        <f t="shared" si="3"/>
        <v>-0.85589712597292622</v>
      </c>
      <c r="N80">
        <f t="shared" si="3"/>
        <v>-0.83695962970896209</v>
      </c>
      <c r="O80">
        <f t="shared" si="3"/>
        <v>-0.80000224280267196</v>
      </c>
      <c r="P80">
        <f t="shared" si="3"/>
        <v>-0.74458754148651418</v>
      </c>
      <c r="Q80">
        <f t="shared" si="3"/>
        <v>-0.67027810199294691</v>
      </c>
      <c r="R80">
        <f t="shared" si="3"/>
        <v>-0.57663650055442794</v>
      </c>
      <c r="S80">
        <f t="shared" si="3"/>
        <v>-0.46322531340341572</v>
      </c>
      <c r="T80">
        <f t="shared" si="3"/>
        <v>-0.32960711677236809</v>
      </c>
      <c r="U80">
        <f t="shared" si="3"/>
        <v>-0.17534448689374368</v>
      </c>
      <c r="V80">
        <f t="shared" si="3"/>
        <v>0</v>
      </c>
    </row>
    <row r="81" spans="1:22" x14ac:dyDescent="0.25">
      <c r="A81" s="12" t="s">
        <v>258</v>
      </c>
      <c r="B81">
        <f>SUM(B79:B80)*-1</f>
        <v>-2.9299385204120147E-3</v>
      </c>
      <c r="C81">
        <f t="shared" ref="C81:V81" si="4">SUM(C79:C80)*-1</f>
        <v>-0.57712963395960815</v>
      </c>
      <c r="D81">
        <f t="shared" si="4"/>
        <v>-1.1468137779451886</v>
      </c>
      <c r="E81">
        <f t="shared" si="4"/>
        <v>-1.6908466755854672</v>
      </c>
      <c r="F81">
        <f t="shared" si="4"/>
        <v>-2.1932158858196216</v>
      </c>
      <c r="G81">
        <f t="shared" si="4"/>
        <v>-2.6401022828972733</v>
      </c>
      <c r="H81">
        <f t="shared" si="4"/>
        <v>-3.0198800563784971</v>
      </c>
      <c r="I81">
        <f t="shared" si="4"/>
        <v>-3.3231167111338178</v>
      </c>
      <c r="J81">
        <f t="shared" si="4"/>
        <v>-3.5425730673442017</v>
      </c>
      <c r="K81">
        <f t="shared" si="4"/>
        <v>-3.6732032605010727</v>
      </c>
      <c r="L81">
        <f t="shared" si="4"/>
        <v>-3.712154741406295</v>
      </c>
      <c r="M81">
        <f t="shared" si="4"/>
        <v>-3.6587682761721911</v>
      </c>
      <c r="N81">
        <f t="shared" si="4"/>
        <v>-3.514577946221523</v>
      </c>
      <c r="O81">
        <f t="shared" si="4"/>
        <v>-3.2833111482875075</v>
      </c>
      <c r="P81">
        <f t="shared" si="4"/>
        <v>-2.9708885944138075</v>
      </c>
      <c r="Q81">
        <f t="shared" si="4"/>
        <v>-2.5854243119545393</v>
      </c>
      <c r="R81">
        <f t="shared" si="4"/>
        <v>-2.1372256435742623</v>
      </c>
      <c r="S81">
        <f t="shared" si="4"/>
        <v>-1.6387932472479845</v>
      </c>
      <c r="T81">
        <f t="shared" si="4"/>
        <v>-1.1048210962611691</v>
      </c>
      <c r="U81">
        <f t="shared" si="4"/>
        <v>-0.55219647920972126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-8.7990947364714397E-4</v>
      </c>
      <c r="C82">
        <f t="shared" ref="C82:V82" si="5">(((C78-C78^3)*$E$67*10^9+(C77-C77^3)*$E$67*10^9)/(6*$E$34))*$E$18^2*10^-3</f>
        <v>-0.16388095035797545</v>
      </c>
      <c r="D82">
        <f t="shared" si="5"/>
        <v>-0.31051127436247961</v>
      </c>
      <c r="E82">
        <f t="shared" si="5"/>
        <v>-0.43989097201351285</v>
      </c>
      <c r="F82">
        <f t="shared" si="5"/>
        <v>-0.55202004331107479</v>
      </c>
      <c r="G82">
        <f t="shared" si="5"/>
        <v>-0.64689848825516605</v>
      </c>
      <c r="H82">
        <f t="shared" si="5"/>
        <v>-0.72452630684578589</v>
      </c>
      <c r="I82">
        <f t="shared" si="5"/>
        <v>-0.78490349908293477</v>
      </c>
      <c r="J82">
        <f t="shared" si="5"/>
        <v>-0.82803006496661247</v>
      </c>
      <c r="K82">
        <f t="shared" si="5"/>
        <v>-0.85390600449681908</v>
      </c>
      <c r="L82">
        <f t="shared" si="5"/>
        <v>-0.86253131767355462</v>
      </c>
      <c r="M82">
        <f t="shared" si="5"/>
        <v>-0.85390600449681908</v>
      </c>
      <c r="N82">
        <f t="shared" si="5"/>
        <v>-0.82803006496661247</v>
      </c>
      <c r="O82">
        <f t="shared" si="5"/>
        <v>-0.78490349908293477</v>
      </c>
      <c r="P82">
        <f t="shared" si="5"/>
        <v>-0.72452630684578589</v>
      </c>
      <c r="Q82">
        <f t="shared" si="5"/>
        <v>-0.64689848825516605</v>
      </c>
      <c r="R82">
        <f t="shared" si="5"/>
        <v>-0.55202004331107479</v>
      </c>
      <c r="S82">
        <f t="shared" si="5"/>
        <v>-0.43989097201351285</v>
      </c>
      <c r="T82">
        <f t="shared" si="5"/>
        <v>-0.31051127436247961</v>
      </c>
      <c r="U82">
        <f t="shared" si="5"/>
        <v>-0.16388095035797545</v>
      </c>
      <c r="V82">
        <f t="shared" si="5"/>
        <v>0</v>
      </c>
    </row>
    <row r="83" spans="1:22" x14ac:dyDescent="0.25">
      <c r="A83" s="12" t="s">
        <v>259</v>
      </c>
      <c r="B83">
        <f>SUM(B79+B82)</f>
        <v>2.8502181199179231E-3</v>
      </c>
      <c r="C83">
        <f t="shared" ref="C83:V83" si="6">SUM(C79+C82)</f>
        <v>0.56366001574548963</v>
      </c>
      <c r="D83">
        <f t="shared" si="6"/>
        <v>1.1239169386710575</v>
      </c>
      <c r="E83">
        <f t="shared" si="6"/>
        <v>1.6621275886378872</v>
      </c>
      <c r="F83">
        <f t="shared" si="6"/>
        <v>2.1618421008176152</v>
      </c>
      <c r="G83">
        <f t="shared" si="6"/>
        <v>2.6088039256923201</v>
      </c>
      <c r="H83">
        <f t="shared" si="6"/>
        <v>2.9909498290545358</v>
      </c>
      <c r="I83">
        <f t="shared" si="6"/>
        <v>3.2984098920072444</v>
      </c>
      <c r="J83">
        <f t="shared" si="6"/>
        <v>3.5235075109638716</v>
      </c>
      <c r="K83">
        <f t="shared" si="6"/>
        <v>3.6607593976482979</v>
      </c>
      <c r="L83">
        <f t="shared" si="6"/>
        <v>3.7068755790948469</v>
      </c>
      <c r="M83">
        <f t="shared" si="6"/>
        <v>3.6607593976482979</v>
      </c>
      <c r="N83">
        <f t="shared" si="6"/>
        <v>3.5235075109638725</v>
      </c>
      <c r="O83">
        <f t="shared" si="6"/>
        <v>3.2984098920072444</v>
      </c>
      <c r="P83">
        <f t="shared" si="6"/>
        <v>2.9909498290545358</v>
      </c>
      <c r="Q83">
        <f t="shared" si="6"/>
        <v>2.6088039256923201</v>
      </c>
      <c r="R83">
        <f t="shared" si="6"/>
        <v>2.1618421008176152</v>
      </c>
      <c r="S83">
        <f t="shared" si="6"/>
        <v>1.6621275886378872</v>
      </c>
      <c r="T83">
        <f t="shared" si="6"/>
        <v>1.1239169386710575</v>
      </c>
      <c r="U83">
        <f t="shared" si="6"/>
        <v>0.56366001574548952</v>
      </c>
      <c r="V83">
        <f t="shared" si="6"/>
        <v>0</v>
      </c>
    </row>
  </sheetData>
  <sheetProtection algorithmName="SHA-512" hashValue="dWppr0/Fp3JEMZm0B+xoeVJvklNG5a/RoxddXtHt8C3whzjvZwPvDfHQ0AQ/0N7FemPB/5tpacfSlpMHuNC5sQ==" saltValue="HmZF7+f4I5hksJCrK5ef7Q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0F33-3036-4CD4-828C-E96250854EC5}">
  <sheetPr codeName="Tabelle16"/>
  <dimension ref="A1:V83"/>
  <sheetViews>
    <sheetView topLeftCell="A40"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FT3N</f>
        <v>FT205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FT3E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FT3I</f>
        <v>11840710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828849700000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9.5" customHeight="1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t="19.5" customHeight="1" x14ac:dyDescent="0.25">
      <c r="A38" s="1"/>
      <c r="B38" s="9" t="s">
        <v>180</v>
      </c>
      <c r="C38" s="2"/>
      <c r="D38" s="7"/>
      <c r="E38" s="4"/>
      <c r="F38" s="3"/>
    </row>
    <row r="39" spans="1:10" ht="19.5" customHeight="1" x14ac:dyDescent="0.35">
      <c r="A39" s="1"/>
      <c r="B39" s="2"/>
      <c r="C39" s="2" t="s">
        <v>177</v>
      </c>
      <c r="D39" s="2" t="s">
        <v>181</v>
      </c>
      <c r="E39" s="4">
        <v>210000</v>
      </c>
      <c r="F39" s="8" t="s">
        <v>179</v>
      </c>
    </row>
    <row r="40" spans="1:10" ht="19.5" customHeight="1" x14ac:dyDescent="0.25">
      <c r="A40" s="1"/>
      <c r="B40" s="2" t="s">
        <v>182</v>
      </c>
      <c r="C40" s="2"/>
      <c r="D40" s="4"/>
      <c r="E40" s="4"/>
      <c r="F40" s="3"/>
    </row>
    <row r="41" spans="1:10" ht="19.5" customHeight="1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t="19.5" customHeight="1" x14ac:dyDescent="0.25">
      <c r="A42" s="1"/>
      <c r="B42" s="2" t="s">
        <v>186</v>
      </c>
      <c r="C42" s="2"/>
      <c r="D42" s="4"/>
      <c r="E42" s="4"/>
      <c r="F42" s="3"/>
    </row>
    <row r="43" spans="1:10" ht="19.5" customHeight="1" x14ac:dyDescent="0.35">
      <c r="A43" s="1"/>
      <c r="B43" s="2"/>
      <c r="C43" s="9" t="s">
        <v>183</v>
      </c>
      <c r="D43" s="2" t="s">
        <v>193</v>
      </c>
      <c r="E43" s="4">
        <f>2*607500</f>
        <v>1215000</v>
      </c>
      <c r="F43" s="3" t="s">
        <v>194</v>
      </c>
      <c r="H43" t="s">
        <v>195</v>
      </c>
    </row>
    <row r="44" spans="1:10" ht="19.5" customHeight="1" thickBot="1" x14ac:dyDescent="0.4">
      <c r="A44" s="16"/>
      <c r="B44" s="17" t="s">
        <v>196</v>
      </c>
      <c r="C44" s="17"/>
      <c r="D44" t="s">
        <v>197</v>
      </c>
      <c r="E44" s="10">
        <f>E37*E41+E39*E43</f>
        <v>431667600000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6.3334273003116284</v>
      </c>
      <c r="J46" s="13">
        <f>6*(E17*E34)/(E18*E44)</f>
        <v>6.3334273003116284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0.22107803178083851</v>
      </c>
      <c r="J47" s="14">
        <f>E17*10^-3*SQRT(E47/(E44*10^-9))</f>
        <v>0.22107803178083851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0.98365483488323646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0.87809158939363585</v>
      </c>
      <c r="F49" s="3" t="s">
        <v>33</v>
      </c>
      <c r="H49" s="12" t="s">
        <v>211</v>
      </c>
      <c r="I49">
        <v>1</v>
      </c>
      <c r="J49">
        <f>J47/(SIN(J47))</f>
        <v>1.0081926057679933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0.50204648186964174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-0.73874783939363575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0.33442453599349437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0.1676219458761446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-1.5658840312604765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4.1871326767578806E-2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-1.9137000036023837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0.92110553758747105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8.5979967130349451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-4.0318437794961985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4.5661529335387465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1.0555712167186047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0.8084197143936358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2.7100298154817142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-1.7421444845182852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8.5979967130349451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-4.0372954540041723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4.5607012590307727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0.53043766021875149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7.0187719135617463E-3</v>
      </c>
      <c r="C79">
        <f t="shared" si="2"/>
        <v>1.3689730366494237</v>
      </c>
      <c r="D79">
        <f t="shared" si="2"/>
        <v>2.6990831281559302</v>
      </c>
      <c r="E79">
        <f t="shared" si="2"/>
        <v>3.955250447930335</v>
      </c>
      <c r="F79">
        <f t="shared" si="2"/>
        <v>5.1065222078057158</v>
      </c>
      <c r="G79">
        <f t="shared" si="2"/>
        <v>6.1260726580373976</v>
      </c>
      <c r="H79">
        <f t="shared" si="2"/>
        <v>6.9912030873029716</v>
      </c>
      <c r="I79">
        <f t="shared" si="2"/>
        <v>7.6833418227022872</v>
      </c>
      <c r="J79">
        <f t="shared" si="2"/>
        <v>8.1880442297574376</v>
      </c>
      <c r="K79">
        <f t="shared" si="2"/>
        <v>8.4949927124127864</v>
      </c>
      <c r="L79">
        <f t="shared" si="2"/>
        <v>8.5979967130349451</v>
      </c>
      <c r="M79">
        <f t="shared" si="2"/>
        <v>8.4949927124127882</v>
      </c>
      <c r="N79">
        <f t="shared" si="2"/>
        <v>8.1880442297574376</v>
      </c>
      <c r="O79">
        <f t="shared" si="2"/>
        <v>7.6833418227022872</v>
      </c>
      <c r="P79">
        <f t="shared" si="2"/>
        <v>6.9912030873029734</v>
      </c>
      <c r="Q79">
        <f t="shared" si="2"/>
        <v>6.1260726580373976</v>
      </c>
      <c r="R79">
        <f t="shared" si="2"/>
        <v>5.1065222078057158</v>
      </c>
      <c r="S79">
        <f t="shared" si="2"/>
        <v>3.955250447930335</v>
      </c>
      <c r="T79">
        <f t="shared" si="2"/>
        <v>2.6990831281559302</v>
      </c>
      <c r="U79">
        <f t="shared" si="2"/>
        <v>1.3689730366494239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-3.9761002665063532E-3</v>
      </c>
      <c r="C80">
        <f t="shared" si="3"/>
        <v>-0.74307821567036458</v>
      </c>
      <c r="D80">
        <f t="shared" si="3"/>
        <v>-1.4127739038878295</v>
      </c>
      <c r="E80">
        <f t="shared" si="3"/>
        <v>-2.0082810259705051</v>
      </c>
      <c r="F80">
        <f t="shared" si="3"/>
        <v>-2.5287935432364979</v>
      </c>
      <c r="G80">
        <f t="shared" si="3"/>
        <v>-2.9735054170039179</v>
      </c>
      <c r="H80">
        <f t="shared" si="3"/>
        <v>-3.3416106085908726</v>
      </c>
      <c r="I80">
        <f t="shared" si="3"/>
        <v>-3.6323030793154687</v>
      </c>
      <c r="J80">
        <f t="shared" si="3"/>
        <v>-3.8447767904958172</v>
      </c>
      <c r="K80">
        <f t="shared" si="3"/>
        <v>-3.9782257034500246</v>
      </c>
      <c r="L80">
        <f t="shared" si="3"/>
        <v>-4.0318437794961994</v>
      </c>
      <c r="M80">
        <f t="shared" si="3"/>
        <v>-4.00482497995245</v>
      </c>
      <c r="N80">
        <f t="shared" si="3"/>
        <v>-3.8963632661368868</v>
      </c>
      <c r="O80">
        <f t="shared" si="3"/>
        <v>-3.7056525993676135</v>
      </c>
      <c r="P80">
        <f t="shared" si="3"/>
        <v>-3.4318869409627433</v>
      </c>
      <c r="Q80">
        <f t="shared" si="3"/>
        <v>-3.0742602522403808</v>
      </c>
      <c r="R80">
        <f t="shared" si="3"/>
        <v>-2.6319664945186361</v>
      </c>
      <c r="S80">
        <f t="shared" si="3"/>
        <v>-2.1041996291156186</v>
      </c>
      <c r="T80">
        <f t="shared" si="3"/>
        <v>-1.490153617349433</v>
      </c>
      <c r="U80">
        <f t="shared" si="3"/>
        <v>-0.78902242053819194</v>
      </c>
      <c r="V80">
        <f t="shared" si="3"/>
        <v>0</v>
      </c>
    </row>
    <row r="81" spans="1:22" x14ac:dyDescent="0.25">
      <c r="A81" s="12" t="s">
        <v>258</v>
      </c>
      <c r="B81">
        <f>SUM(B79:B80)*-1</f>
        <v>-3.042671647055393E-3</v>
      </c>
      <c r="C81">
        <f t="shared" ref="C81:V81" si="4">SUM(C79:C80)*-1</f>
        <v>-0.62589482097905913</v>
      </c>
      <c r="D81">
        <f t="shared" si="4"/>
        <v>-1.2863092242681007</v>
      </c>
      <c r="E81">
        <f t="shared" si="4"/>
        <v>-1.9469694219598299</v>
      </c>
      <c r="F81">
        <f t="shared" si="4"/>
        <v>-2.5777286645692179</v>
      </c>
      <c r="G81">
        <f t="shared" si="4"/>
        <v>-3.1525672410334797</v>
      </c>
      <c r="H81">
        <f t="shared" si="4"/>
        <v>-3.649592478712099</v>
      </c>
      <c r="I81">
        <f t="shared" si="4"/>
        <v>-4.0510387433868189</v>
      </c>
      <c r="J81">
        <f t="shared" si="4"/>
        <v>-4.34326743926162</v>
      </c>
      <c r="K81">
        <f t="shared" si="4"/>
        <v>-4.5167670089627618</v>
      </c>
      <c r="L81">
        <f t="shared" si="4"/>
        <v>-4.5661529335387456</v>
      </c>
      <c r="M81">
        <f t="shared" si="4"/>
        <v>-4.4901677324603382</v>
      </c>
      <c r="N81">
        <f t="shared" si="4"/>
        <v>-4.2916809636205508</v>
      </c>
      <c r="O81">
        <f t="shared" si="4"/>
        <v>-3.9776892233346737</v>
      </c>
      <c r="P81">
        <f t="shared" si="4"/>
        <v>-3.5593161463402301</v>
      </c>
      <c r="Q81">
        <f t="shared" si="4"/>
        <v>-3.0518124057970168</v>
      </c>
      <c r="R81">
        <f t="shared" si="4"/>
        <v>-2.4745557132870797</v>
      </c>
      <c r="S81">
        <f t="shared" si="4"/>
        <v>-1.8510508188147163</v>
      </c>
      <c r="T81">
        <f t="shared" si="4"/>
        <v>-1.2089295108064972</v>
      </c>
      <c r="U81">
        <f t="shared" si="4"/>
        <v>-0.579950616111232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-4.1186382976476791E-3</v>
      </c>
      <c r="C82">
        <f t="shared" ref="C82:V82" si="5">(((C78-C78^3)*$E$67*10^9+(C77-C77^3)*$E$67*10^9)/(6*$E$34))*$E$18^2*10^-3</f>
        <v>-0.76708613626079336</v>
      </c>
      <c r="D82">
        <f t="shared" si="5"/>
        <v>-1.4534263634415017</v>
      </c>
      <c r="E82">
        <f t="shared" si="5"/>
        <v>-2.0590206815421284</v>
      </c>
      <c r="F82">
        <f t="shared" si="5"/>
        <v>-2.5838690905626702</v>
      </c>
      <c r="G82">
        <f t="shared" si="5"/>
        <v>-3.027971590503129</v>
      </c>
      <c r="H82">
        <f t="shared" si="5"/>
        <v>-3.3913281813635043</v>
      </c>
      <c r="I82">
        <f t="shared" si="5"/>
        <v>-3.6739388631437961</v>
      </c>
      <c r="J82">
        <f t="shared" si="5"/>
        <v>-3.8758036358440058</v>
      </c>
      <c r="K82">
        <f t="shared" si="5"/>
        <v>-3.9969224994641306</v>
      </c>
      <c r="L82">
        <f t="shared" si="5"/>
        <v>-4.0372954540041732</v>
      </c>
      <c r="M82">
        <f t="shared" si="5"/>
        <v>-3.9969224994641306</v>
      </c>
      <c r="N82">
        <f t="shared" si="5"/>
        <v>-3.8758036358440058</v>
      </c>
      <c r="O82">
        <f t="shared" si="5"/>
        <v>-3.6739388631437961</v>
      </c>
      <c r="P82">
        <f t="shared" si="5"/>
        <v>-3.3913281813635043</v>
      </c>
      <c r="Q82">
        <f t="shared" si="5"/>
        <v>-3.027971590503129</v>
      </c>
      <c r="R82">
        <f t="shared" si="5"/>
        <v>-2.5838690905626702</v>
      </c>
      <c r="S82">
        <f t="shared" si="5"/>
        <v>-2.0590206815421284</v>
      </c>
      <c r="T82">
        <f t="shared" si="5"/>
        <v>-1.4534263634415017</v>
      </c>
      <c r="U82">
        <f t="shared" si="5"/>
        <v>-0.76708613626079336</v>
      </c>
      <c r="V82">
        <f t="shared" si="5"/>
        <v>0</v>
      </c>
    </row>
    <row r="83" spans="1:22" x14ac:dyDescent="0.25">
      <c r="A83" s="12" t="s">
        <v>259</v>
      </c>
      <c r="B83">
        <f>SUM(B79+B82)</f>
        <v>2.9001336159140672E-3</v>
      </c>
      <c r="C83">
        <f t="shared" ref="C83:V83" si="6">SUM(C79+C82)</f>
        <v>0.60188690038863035</v>
      </c>
      <c r="D83">
        <f t="shared" si="6"/>
        <v>1.2456567647144285</v>
      </c>
      <c r="E83">
        <f t="shared" si="6"/>
        <v>1.8962297663882066</v>
      </c>
      <c r="F83">
        <f t="shared" si="6"/>
        <v>2.5226531172430455</v>
      </c>
      <c r="G83">
        <f t="shared" si="6"/>
        <v>3.0981010675342686</v>
      </c>
      <c r="H83">
        <f t="shared" si="6"/>
        <v>3.5998749059394672</v>
      </c>
      <c r="I83">
        <f t="shared" si="6"/>
        <v>4.009402959558491</v>
      </c>
      <c r="J83">
        <f t="shared" si="6"/>
        <v>4.3122405939134314</v>
      </c>
      <c r="K83">
        <f t="shared" si="6"/>
        <v>4.4980702129486563</v>
      </c>
      <c r="L83">
        <f t="shared" si="6"/>
        <v>4.5607012590307718</v>
      </c>
      <c r="M83">
        <f t="shared" si="6"/>
        <v>4.4980702129486581</v>
      </c>
      <c r="N83">
        <f t="shared" si="6"/>
        <v>4.3122405939134314</v>
      </c>
      <c r="O83">
        <f t="shared" si="6"/>
        <v>4.009402959558491</v>
      </c>
      <c r="P83">
        <f t="shared" si="6"/>
        <v>3.599874905939469</v>
      </c>
      <c r="Q83">
        <f t="shared" si="6"/>
        <v>3.0981010675342686</v>
      </c>
      <c r="R83">
        <f t="shared" si="6"/>
        <v>2.5226531172430455</v>
      </c>
      <c r="S83">
        <f t="shared" si="6"/>
        <v>1.8962297663882066</v>
      </c>
      <c r="T83">
        <f t="shared" si="6"/>
        <v>1.2456567647144285</v>
      </c>
      <c r="U83">
        <f t="shared" si="6"/>
        <v>0.60188690038863057</v>
      </c>
      <c r="V83">
        <f t="shared" si="6"/>
        <v>0</v>
      </c>
    </row>
  </sheetData>
  <sheetProtection algorithmName="SHA-512" hashValue="iFzaBdSvYXJC+mLB4GnuRXrEe+3eE6Cm6sUD1CYCG/hZrGJipZ67/39mOtvBfIBrqTRZPi9+mAJ4jd0BC4US6g==" saltValue="kov4Zx07k1DIMPcIvm+bBw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5DEBC-04C2-4002-9DEF-A50DC9B22EC2}">
  <sheetPr codeName="Tabelle17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FT4N</f>
        <v>FT240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FT4E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FT4I</f>
        <v>22280000</v>
      </c>
      <c r="F31" s="3" t="s">
        <v>185</v>
      </c>
    </row>
    <row r="32" spans="1:6" ht="3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3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1559600000000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6.5" customHeight="1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6.5" customHeight="1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t="16.5" customHeight="1" x14ac:dyDescent="0.25">
      <c r="A38" s="1"/>
      <c r="B38" s="9" t="s">
        <v>180</v>
      </c>
      <c r="C38" s="2"/>
      <c r="D38" s="7"/>
      <c r="E38" s="4"/>
      <c r="F38" s="3"/>
    </row>
    <row r="39" spans="1:10" ht="16.5" customHeight="1" x14ac:dyDescent="0.35">
      <c r="A39" s="1"/>
      <c r="B39" s="2"/>
      <c r="C39" s="2" t="s">
        <v>177</v>
      </c>
      <c r="D39" s="2" t="s">
        <v>181</v>
      </c>
      <c r="E39" s="4">
        <v>210000</v>
      </c>
      <c r="F39" s="8" t="s">
        <v>179</v>
      </c>
    </row>
    <row r="40" spans="1:10" ht="16.5" customHeight="1" x14ac:dyDescent="0.25">
      <c r="A40" s="1"/>
      <c r="B40" s="2" t="s">
        <v>182</v>
      </c>
      <c r="C40" s="2"/>
      <c r="D40" s="4"/>
      <c r="E40" s="4"/>
      <c r="F40" s="3"/>
    </row>
    <row r="41" spans="1:10" ht="16.5" customHeight="1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t="16.5" customHeight="1" x14ac:dyDescent="0.25">
      <c r="A42" s="1"/>
      <c r="B42" s="2" t="s">
        <v>186</v>
      </c>
      <c r="C42" s="2"/>
      <c r="D42" s="4"/>
      <c r="E42" s="4"/>
      <c r="F42" s="3"/>
    </row>
    <row r="43" spans="1:10" ht="16.5" customHeight="1" x14ac:dyDescent="0.35">
      <c r="A43" s="1"/>
      <c r="B43" s="2"/>
      <c r="C43" s="9" t="s">
        <v>183</v>
      </c>
      <c r="D43" s="2" t="s">
        <v>193</v>
      </c>
      <c r="E43" s="4">
        <v>1215000</v>
      </c>
      <c r="F43" s="3" t="s">
        <v>194</v>
      </c>
      <c r="H43" t="s">
        <v>195</v>
      </c>
    </row>
    <row r="44" spans="1:10" ht="16.5" customHeight="1" thickBot="1" x14ac:dyDescent="0.4">
      <c r="A44" s="16"/>
      <c r="B44" s="17" t="s">
        <v>196</v>
      </c>
      <c r="C44" s="17"/>
      <c r="D44" t="s">
        <v>197</v>
      </c>
      <c r="E44" s="10">
        <f>E37*E41+E39*E43</f>
        <v>431667600000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11.917254983100092</v>
      </c>
      <c r="J46" s="13">
        <f>6*(E17*E34)/(E18*E44)</f>
        <v>11.917254983100092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0.22107803178083851</v>
      </c>
      <c r="J47" s="14">
        <f>E17*10^-3*SQRT(E47/(E44*10^-9))</f>
        <v>0.22107803178083851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0.98365483488323646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0.66228524271046751</v>
      </c>
      <c r="F49" s="3" t="s">
        <v>33</v>
      </c>
      <c r="H49" s="12" t="s">
        <v>211</v>
      </c>
      <c r="I49">
        <v>1</v>
      </c>
      <c r="J49">
        <f>J47/(SIN(J47))</f>
        <v>1.0081926057679933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0.50204648186964174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-0.52294149271046764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0.33442453599349437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0.1676219458761446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-1.1014383389792495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4.1871326767578806E-2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-1.4479704163939031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0.77980187965245773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4.5694068967684025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-1.5699231653375068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2.999483731430896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1.986209163850015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0.59261336771046758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3.1750924925839419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-1.2770818074160577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4.5694068967684025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-1.5728512026704051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2.9965556940979976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0.65578657401187801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3.7301275935650671E-3</v>
      </c>
      <c r="C79">
        <f t="shared" si="2"/>
        <v>0.72754096610346508</v>
      </c>
      <c r="D79">
        <f t="shared" si="2"/>
        <v>1.4344282130335371</v>
      </c>
      <c r="E79">
        <f t="shared" si="2"/>
        <v>2.1020185606514001</v>
      </c>
      <c r="F79">
        <f t="shared" si="2"/>
        <v>2.7138621441286901</v>
      </c>
      <c r="G79">
        <f t="shared" si="2"/>
        <v>3.2557024139474859</v>
      </c>
      <c r="H79">
        <f t="shared" si="2"/>
        <v>3.7154761359003219</v>
      </c>
      <c r="I79">
        <f t="shared" si="2"/>
        <v>4.0833133910901793</v>
      </c>
      <c r="J79">
        <f t="shared" si="2"/>
        <v>4.3515375759304842</v>
      </c>
      <c r="K79">
        <f t="shared" si="2"/>
        <v>4.5146654021451171</v>
      </c>
      <c r="L79">
        <f t="shared" si="2"/>
        <v>4.5694068967684016</v>
      </c>
      <c r="M79">
        <f t="shared" si="2"/>
        <v>4.5146654021451171</v>
      </c>
      <c r="N79">
        <f t="shared" si="2"/>
        <v>4.3515375759304851</v>
      </c>
      <c r="O79">
        <f t="shared" si="2"/>
        <v>4.0833133910901793</v>
      </c>
      <c r="P79">
        <f t="shared" si="2"/>
        <v>3.7154761359003219</v>
      </c>
      <c r="Q79">
        <f t="shared" si="2"/>
        <v>3.2557024139474859</v>
      </c>
      <c r="R79">
        <f t="shared" si="2"/>
        <v>2.7138621441286901</v>
      </c>
      <c r="S79">
        <f t="shared" si="2"/>
        <v>2.1020185606514001</v>
      </c>
      <c r="T79">
        <f t="shared" si="2"/>
        <v>1.4344282130335371</v>
      </c>
      <c r="U79">
        <f t="shared" si="2"/>
        <v>0.72754096610346497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-1.5290262681076595E-3</v>
      </c>
      <c r="C80">
        <f t="shared" si="3"/>
        <v>-0.28612193885481962</v>
      </c>
      <c r="D80">
        <f t="shared" si="3"/>
        <v>-0.54468650784266992</v>
      </c>
      <c r="E80">
        <f t="shared" si="3"/>
        <v>-0.77526691880357579</v>
      </c>
      <c r="F80">
        <f t="shared" si="3"/>
        <v>-0.97743638357756113</v>
      </c>
      <c r="G80">
        <f t="shared" si="3"/>
        <v>-1.1507681140046502</v>
      </c>
      <c r="H80">
        <f t="shared" si="3"/>
        <v>-1.2948353219248676</v>
      </c>
      <c r="I80">
        <f t="shared" si="3"/>
        <v>-1.4092112191782378</v>
      </c>
      <c r="J80">
        <f t="shared" si="3"/>
        <v>-1.4934690176047851</v>
      </c>
      <c r="K80">
        <f t="shared" si="3"/>
        <v>-1.547181929044533</v>
      </c>
      <c r="L80">
        <f t="shared" si="3"/>
        <v>-1.5699231653375068</v>
      </c>
      <c r="M80">
        <f t="shared" si="3"/>
        <v>-1.5612659383237306</v>
      </c>
      <c r="N80">
        <f t="shared" si="3"/>
        <v>-1.5207834598432284</v>
      </c>
      <c r="O80">
        <f t="shared" si="3"/>
        <v>-1.4480489417360247</v>
      </c>
      <c r="P80">
        <f t="shared" si="3"/>
        <v>-1.3426355958421439</v>
      </c>
      <c r="Q80">
        <f t="shared" si="3"/>
        <v>-1.2041166340016101</v>
      </c>
      <c r="R80">
        <f t="shared" si="3"/>
        <v>-1.0320652680544478</v>
      </c>
      <c r="S80">
        <f t="shared" si="3"/>
        <v>-0.82605470984068141</v>
      </c>
      <c r="T80">
        <f t="shared" si="3"/>
        <v>-0.58565817120033492</v>
      </c>
      <c r="U80">
        <f t="shared" si="3"/>
        <v>-0.3104488639734333</v>
      </c>
      <c r="V80">
        <f t="shared" si="3"/>
        <v>0</v>
      </c>
    </row>
    <row r="81" spans="1:22" x14ac:dyDescent="0.25">
      <c r="A81" s="12" t="s">
        <v>258</v>
      </c>
      <c r="B81">
        <f>SUM(B79:B80)*-1</f>
        <v>-2.2011013254574076E-3</v>
      </c>
      <c r="C81">
        <f t="shared" ref="C81:V81" si="4">SUM(C79:C80)*-1</f>
        <v>-0.44141902724864546</v>
      </c>
      <c r="D81">
        <f t="shared" si="4"/>
        <v>-0.88974170519086715</v>
      </c>
      <c r="E81">
        <f t="shared" si="4"/>
        <v>-1.3267516418478245</v>
      </c>
      <c r="F81">
        <f t="shared" si="4"/>
        <v>-1.7364257605511288</v>
      </c>
      <c r="G81">
        <f t="shared" si="4"/>
        <v>-2.104934299942836</v>
      </c>
      <c r="H81">
        <f t="shared" si="4"/>
        <v>-2.4206408139754543</v>
      </c>
      <c r="I81">
        <f t="shared" si="4"/>
        <v>-2.6741021719119416</v>
      </c>
      <c r="J81">
        <f t="shared" si="4"/>
        <v>-2.8580685583256988</v>
      </c>
      <c r="K81">
        <f t="shared" si="4"/>
        <v>-2.9674834731005841</v>
      </c>
      <c r="L81">
        <f t="shared" si="4"/>
        <v>-2.9994837314308951</v>
      </c>
      <c r="M81">
        <f t="shared" si="4"/>
        <v>-2.9533994638213867</v>
      </c>
      <c r="N81">
        <f t="shared" si="4"/>
        <v>-2.8307541160872569</v>
      </c>
      <c r="O81">
        <f t="shared" si="4"/>
        <v>-2.6352644493541546</v>
      </c>
      <c r="P81">
        <f t="shared" si="4"/>
        <v>-2.3728405400581778</v>
      </c>
      <c r="Q81">
        <f t="shared" si="4"/>
        <v>-2.0515857799458761</v>
      </c>
      <c r="R81">
        <f t="shared" si="4"/>
        <v>-1.6817968760742423</v>
      </c>
      <c r="S81">
        <f t="shared" si="4"/>
        <v>-1.2759638508107187</v>
      </c>
      <c r="T81">
        <f t="shared" si="4"/>
        <v>-0.84877004183320215</v>
      </c>
      <c r="U81">
        <f t="shared" si="4"/>
        <v>-0.41709210213003167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-1.6045407807334694E-3</v>
      </c>
      <c r="C82">
        <f t="shared" ref="C82:V82" si="5">(((C78-C78^3)*$E$67*10^9+(C77-C77^3)*$E$67*10^9)/(6*$E$34))*$E$18^2*10^-3</f>
        <v>-0.29884172850737711</v>
      </c>
      <c r="D82">
        <f t="shared" si="5"/>
        <v>-0.56622643296134578</v>
      </c>
      <c r="E82">
        <f t="shared" si="5"/>
        <v>-0.80215411336190667</v>
      </c>
      <c r="F82">
        <f t="shared" si="5"/>
        <v>-1.0066247697090591</v>
      </c>
      <c r="G82">
        <f t="shared" si="5"/>
        <v>-1.1796384020028039</v>
      </c>
      <c r="H82">
        <f t="shared" si="5"/>
        <v>-1.3211950102431402</v>
      </c>
      <c r="I82">
        <f t="shared" si="5"/>
        <v>-1.4312945944300683</v>
      </c>
      <c r="J82">
        <f t="shared" si="5"/>
        <v>-1.5099371545635889</v>
      </c>
      <c r="K82">
        <f t="shared" si="5"/>
        <v>-1.557122690643701</v>
      </c>
      <c r="L82">
        <f t="shared" si="5"/>
        <v>-1.5728512026704051</v>
      </c>
      <c r="M82">
        <f t="shared" si="5"/>
        <v>-1.557122690643701</v>
      </c>
      <c r="N82">
        <f t="shared" si="5"/>
        <v>-1.5099371545635889</v>
      </c>
      <c r="O82">
        <f t="shared" si="5"/>
        <v>-1.4312945944300683</v>
      </c>
      <c r="P82">
        <f t="shared" si="5"/>
        <v>-1.3211950102431402</v>
      </c>
      <c r="Q82">
        <f t="shared" si="5"/>
        <v>-1.1796384020028039</v>
      </c>
      <c r="R82">
        <f t="shared" si="5"/>
        <v>-1.0066247697090591</v>
      </c>
      <c r="S82">
        <f t="shared" si="5"/>
        <v>-0.80215411336190667</v>
      </c>
      <c r="T82">
        <f t="shared" si="5"/>
        <v>-0.56622643296134578</v>
      </c>
      <c r="U82">
        <f t="shared" si="5"/>
        <v>-0.29884172850737711</v>
      </c>
      <c r="V82">
        <f t="shared" si="5"/>
        <v>0</v>
      </c>
    </row>
    <row r="83" spans="1:22" x14ac:dyDescent="0.25">
      <c r="A83" s="12" t="s">
        <v>259</v>
      </c>
      <c r="B83">
        <f>SUM(B79+B82)</f>
        <v>2.1255868128315977E-3</v>
      </c>
      <c r="C83">
        <f t="shared" ref="C83:V83" si="6">SUM(C79+C82)</f>
        <v>0.42869923759608797</v>
      </c>
      <c r="D83">
        <f t="shared" si="6"/>
        <v>0.86820178007219129</v>
      </c>
      <c r="E83">
        <f t="shared" si="6"/>
        <v>1.2998644472894934</v>
      </c>
      <c r="F83">
        <f t="shared" si="6"/>
        <v>1.707237374419631</v>
      </c>
      <c r="G83">
        <f t="shared" si="6"/>
        <v>2.0760640119446823</v>
      </c>
      <c r="H83">
        <f t="shared" si="6"/>
        <v>2.3942811256571819</v>
      </c>
      <c r="I83">
        <f t="shared" si="6"/>
        <v>2.6520187966601112</v>
      </c>
      <c r="J83">
        <f t="shared" si="6"/>
        <v>2.8416004213668953</v>
      </c>
      <c r="K83">
        <f t="shared" si="6"/>
        <v>2.9575427115014161</v>
      </c>
      <c r="L83">
        <f t="shared" si="6"/>
        <v>2.9965556940979967</v>
      </c>
      <c r="M83">
        <f t="shared" si="6"/>
        <v>2.9575427115014161</v>
      </c>
      <c r="N83">
        <f t="shared" si="6"/>
        <v>2.8416004213668962</v>
      </c>
      <c r="O83">
        <f t="shared" si="6"/>
        <v>2.6520187966601112</v>
      </c>
      <c r="P83">
        <f t="shared" si="6"/>
        <v>2.3942811256571819</v>
      </c>
      <c r="Q83">
        <f t="shared" si="6"/>
        <v>2.0760640119446823</v>
      </c>
      <c r="R83">
        <f t="shared" si="6"/>
        <v>1.707237374419631</v>
      </c>
      <c r="S83">
        <f t="shared" si="6"/>
        <v>1.2998644472894934</v>
      </c>
      <c r="T83">
        <f t="shared" si="6"/>
        <v>0.86820178007219129</v>
      </c>
      <c r="U83">
        <f t="shared" si="6"/>
        <v>0.42869923759608786</v>
      </c>
      <c r="V83">
        <f t="shared" si="6"/>
        <v>0</v>
      </c>
    </row>
  </sheetData>
  <sheetProtection algorithmName="SHA-512" hashValue="b2l/5QgfvPmVCmCpfgWvlM2WmwGjQUPLgHZgzlYXcoJsaddorp4XH9pkpJa+XYCu7vbKX3n6owC9sgNJ3NFnOQ==" saltValue="h2CfiicoBeAF9A7Flhrlwg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C2E59-E054-4AA1-B17A-0716F6C748AB}">
  <sheetPr codeName="Tabelle18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HW*1000+FT1x</f>
        <v>2855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(L+BKOR-WBE-WBE)*1000-(2*PF1x)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LLWT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FT4N</f>
        <v>FT240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WT1I</f>
        <v>12395050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867653500000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PF1N</f>
        <v>PF80x80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PF1E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PF1I</f>
        <v>1153400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80738000000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46.961248221761394</v>
      </c>
      <c r="J46" s="13">
        <f>6*(E17*E34)/(E18*E44)</f>
        <v>46.961248221761394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0.67723619403007029</v>
      </c>
      <c r="J47" s="14">
        <f>E17*10^-3*SQRT(E47/(E44*10^-9))</f>
        <v>0.67723619403007029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4.6445213281249993</v>
      </c>
      <c r="F48" s="3" t="s">
        <v>33</v>
      </c>
      <c r="H48" s="12" t="s">
        <v>208</v>
      </c>
      <c r="I48">
        <v>1</v>
      </c>
      <c r="J48">
        <f>J47/(TAN(J47))</f>
        <v>0.84222839384014869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0.23686942267661254</v>
      </c>
      <c r="F49" s="3" t="s">
        <v>33</v>
      </c>
      <c r="H49" s="12" t="s">
        <v>211</v>
      </c>
      <c r="I49">
        <v>1</v>
      </c>
      <c r="J49">
        <f>J47/(SIN(J47))</f>
        <v>1.0807393441042532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4.4415486718750001</v>
      </c>
      <c r="F50" s="3" t="s">
        <v>33</v>
      </c>
      <c r="H50" s="12" t="s">
        <v>214</v>
      </c>
      <c r="I50" s="13">
        <v>0.5</v>
      </c>
      <c r="J50" s="15">
        <f>TAN(J47/2)/(J47)</f>
        <v>0.52002952533617208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-9.7525672676612551E-2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0.34399214531652761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0.17603738001964431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-0.19476745139423901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4.3670718437643065E-2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-0.73498183279591867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9.9610189500718924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8.2134711566310745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-1.0291334185089178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7.1843377381221565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7.8268747036268982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0.16719754767661255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3.9748253013832704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-0.4773489986167288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8.2134711566310745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-1.056748986252015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7.1567221703790596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0.87133953889898819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6.7048735410207847E-3</v>
      </c>
      <c r="C79">
        <f t="shared" si="2"/>
        <v>1.3077488775587998</v>
      </c>
      <c r="D79">
        <f t="shared" si="2"/>
        <v>2.578372865489627</v>
      </c>
      <c r="E79">
        <f t="shared" si="2"/>
        <v>3.7783610014734261</v>
      </c>
      <c r="F79">
        <f t="shared" si="2"/>
        <v>4.8781447893463277</v>
      </c>
      <c r="G79">
        <f t="shared" si="2"/>
        <v>5.8520981990996397</v>
      </c>
      <c r="H79">
        <f t="shared" si="2"/>
        <v>6.6785376668798575</v>
      </c>
      <c r="I79">
        <f t="shared" si="2"/>
        <v>7.3397220949886615</v>
      </c>
      <c r="J79">
        <f t="shared" si="2"/>
        <v>7.8218528518829027</v>
      </c>
      <c r="K79">
        <f t="shared" si="2"/>
        <v>8.115073772174636</v>
      </c>
      <c r="L79">
        <f t="shared" si="2"/>
        <v>8.2134711566310745</v>
      </c>
      <c r="M79">
        <f t="shared" si="2"/>
        <v>8.115073772174636</v>
      </c>
      <c r="N79">
        <f t="shared" si="2"/>
        <v>7.8218528518829027</v>
      </c>
      <c r="O79">
        <f t="shared" si="2"/>
        <v>7.3397220949886615</v>
      </c>
      <c r="P79">
        <f t="shared" si="2"/>
        <v>6.6785376668798575</v>
      </c>
      <c r="Q79">
        <f t="shared" si="2"/>
        <v>5.8520981990996397</v>
      </c>
      <c r="R79">
        <f t="shared" si="2"/>
        <v>4.8781447893463277</v>
      </c>
      <c r="S79">
        <f t="shared" si="2"/>
        <v>3.7783610014734266</v>
      </c>
      <c r="T79">
        <f t="shared" si="2"/>
        <v>2.578372865489627</v>
      </c>
      <c r="U79">
        <f t="shared" si="2"/>
        <v>1.3077488775587998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-8.4663619815341078E-4</v>
      </c>
      <c r="C80">
        <f t="shared" si="3"/>
        <v>-0.16145164232460005</v>
      </c>
      <c r="D80">
        <f t="shared" si="3"/>
        <v>-0.31308389223441979</v>
      </c>
      <c r="E80">
        <f t="shared" si="3"/>
        <v>-0.45370083017885998</v>
      </c>
      <c r="F80">
        <f t="shared" si="3"/>
        <v>-0.58210653660732015</v>
      </c>
      <c r="G80">
        <f t="shared" si="3"/>
        <v>-0.69710509196920079</v>
      </c>
      <c r="H80">
        <f t="shared" si="3"/>
        <v>-0.79750057671390218</v>
      </c>
      <c r="I80">
        <f t="shared" si="3"/>
        <v>-0.88209707129082415</v>
      </c>
      <c r="J80">
        <f t="shared" si="3"/>
        <v>-0.94969865614936788</v>
      </c>
      <c r="K80">
        <f t="shared" si="3"/>
        <v>-0.99910941173893197</v>
      </c>
      <c r="L80">
        <f t="shared" si="3"/>
        <v>-1.0291334185089178</v>
      </c>
      <c r="M80">
        <f t="shared" si="3"/>
        <v>-1.0385747569087258</v>
      </c>
      <c r="N80">
        <f t="shared" si="3"/>
        <v>-1.026237507387755</v>
      </c>
      <c r="O80">
        <f t="shared" si="3"/>
        <v>-0.99092575039540609</v>
      </c>
      <c r="P80">
        <f t="shared" si="3"/>
        <v>-0.93144356638108006</v>
      </c>
      <c r="Q80">
        <f t="shared" si="3"/>
        <v>-0.84659503579417605</v>
      </c>
      <c r="R80">
        <f t="shared" si="3"/>
        <v>-0.73518423908409469</v>
      </c>
      <c r="S80">
        <f t="shared" si="3"/>
        <v>-0.59601525670023658</v>
      </c>
      <c r="T80">
        <f t="shared" si="3"/>
        <v>-0.42789216909200084</v>
      </c>
      <c r="U80">
        <f t="shared" si="3"/>
        <v>-0.22961905670878893</v>
      </c>
      <c r="V80">
        <f t="shared" si="3"/>
        <v>0</v>
      </c>
    </row>
    <row r="81" spans="1:22" x14ac:dyDescent="0.25">
      <c r="A81" s="12" t="s">
        <v>258</v>
      </c>
      <c r="B81">
        <f>SUM(B79:B80)*-1</f>
        <v>-5.8582373428673739E-3</v>
      </c>
      <c r="C81">
        <f t="shared" ref="C81:V81" si="4">SUM(C79:C80)*-1</f>
        <v>-1.1462972352341998</v>
      </c>
      <c r="D81">
        <f t="shared" si="4"/>
        <v>-2.2652889732552071</v>
      </c>
      <c r="E81">
        <f t="shared" si="4"/>
        <v>-3.3246601712945663</v>
      </c>
      <c r="F81">
        <f t="shared" si="4"/>
        <v>-4.2960382527390077</v>
      </c>
      <c r="G81">
        <f t="shared" si="4"/>
        <v>-5.1549931071304389</v>
      </c>
      <c r="H81">
        <f t="shared" si="4"/>
        <v>-5.8810370901659557</v>
      </c>
      <c r="I81">
        <f t="shared" si="4"/>
        <v>-6.4576250236978376</v>
      </c>
      <c r="J81">
        <f t="shared" si="4"/>
        <v>-6.8721541957335344</v>
      </c>
      <c r="K81">
        <f t="shared" si="4"/>
        <v>-7.1159643604357044</v>
      </c>
      <c r="L81">
        <f t="shared" si="4"/>
        <v>-7.1843377381221565</v>
      </c>
      <c r="M81">
        <f t="shared" si="4"/>
        <v>-7.0764990152659104</v>
      </c>
      <c r="N81">
        <f t="shared" si="4"/>
        <v>-6.7956153444951477</v>
      </c>
      <c r="O81">
        <f t="shared" si="4"/>
        <v>-6.3487963445932554</v>
      </c>
      <c r="P81">
        <f t="shared" si="4"/>
        <v>-5.7470941004987779</v>
      </c>
      <c r="Q81">
        <f t="shared" si="4"/>
        <v>-5.0055031633054634</v>
      </c>
      <c r="R81">
        <f t="shared" si="4"/>
        <v>-4.1429605502622326</v>
      </c>
      <c r="S81">
        <f t="shared" si="4"/>
        <v>-3.18234574477319</v>
      </c>
      <c r="T81">
        <f t="shared" si="4"/>
        <v>-2.1504806963976262</v>
      </c>
      <c r="U81">
        <f t="shared" si="4"/>
        <v>-1.0781298208500107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-1.0780402116623024E-3</v>
      </c>
      <c r="C82">
        <f t="shared" ref="C82:V82" si="5">(((C78-C78^3)*$E$67*10^9+(C77-C77^3)*$E$67*10^9)/(6*$E$34))*$E$18^2*10^-3</f>
        <v>-0.20078230738788294</v>
      </c>
      <c r="D82">
        <f t="shared" si="5"/>
        <v>-0.3804296350507253</v>
      </c>
      <c r="E82">
        <f t="shared" si="5"/>
        <v>-0.5389419829885278</v>
      </c>
      <c r="F82">
        <f t="shared" si="5"/>
        <v>-0.67631935120128961</v>
      </c>
      <c r="G82">
        <f t="shared" si="5"/>
        <v>-0.79256173968901122</v>
      </c>
      <c r="H82">
        <f t="shared" si="5"/>
        <v>-0.88766914845169254</v>
      </c>
      <c r="I82">
        <f t="shared" si="5"/>
        <v>-0.96164157748933365</v>
      </c>
      <c r="J82">
        <f t="shared" si="5"/>
        <v>-1.0144790268019346</v>
      </c>
      <c r="K82">
        <f t="shared" si="5"/>
        <v>-1.0461814963894949</v>
      </c>
      <c r="L82">
        <f t="shared" si="5"/>
        <v>-1.056748986252015</v>
      </c>
      <c r="M82">
        <f t="shared" si="5"/>
        <v>-1.0461814963894949</v>
      </c>
      <c r="N82">
        <f t="shared" si="5"/>
        <v>-1.0144790268019346</v>
      </c>
      <c r="O82">
        <f t="shared" si="5"/>
        <v>-0.96164157748933365</v>
      </c>
      <c r="P82">
        <f t="shared" si="5"/>
        <v>-0.88766914845169254</v>
      </c>
      <c r="Q82">
        <f t="shared" si="5"/>
        <v>-0.79256173968901122</v>
      </c>
      <c r="R82">
        <f t="shared" si="5"/>
        <v>-0.67631935120128961</v>
      </c>
      <c r="S82">
        <f t="shared" si="5"/>
        <v>-0.5389419829885278</v>
      </c>
      <c r="T82">
        <f t="shared" si="5"/>
        <v>-0.3804296350507253</v>
      </c>
      <c r="U82">
        <f t="shared" si="5"/>
        <v>-0.20078230738788294</v>
      </c>
      <c r="V82">
        <f t="shared" si="5"/>
        <v>0</v>
      </c>
    </row>
    <row r="83" spans="1:22" x14ac:dyDescent="0.25">
      <c r="A83" s="12" t="s">
        <v>259</v>
      </c>
      <c r="B83">
        <f>SUM(B79+B82)</f>
        <v>5.6268333293584827E-3</v>
      </c>
      <c r="C83">
        <f t="shared" ref="C83:V83" si="6">SUM(C79+C82)</f>
        <v>1.1069665701709168</v>
      </c>
      <c r="D83">
        <f t="shared" si="6"/>
        <v>2.1979432304389017</v>
      </c>
      <c r="E83">
        <f t="shared" si="6"/>
        <v>3.2394190184848983</v>
      </c>
      <c r="F83">
        <f t="shared" si="6"/>
        <v>4.2018254381450379</v>
      </c>
      <c r="G83">
        <f t="shared" si="6"/>
        <v>5.0595364594106282</v>
      </c>
      <c r="H83">
        <f t="shared" si="6"/>
        <v>5.790868518428165</v>
      </c>
      <c r="I83">
        <f t="shared" si="6"/>
        <v>6.3780805174993276</v>
      </c>
      <c r="J83">
        <f t="shared" si="6"/>
        <v>6.8073738250809681</v>
      </c>
      <c r="K83">
        <f t="shared" si="6"/>
        <v>7.0688922757851413</v>
      </c>
      <c r="L83">
        <f t="shared" si="6"/>
        <v>7.1567221703790596</v>
      </c>
      <c r="M83">
        <f t="shared" si="6"/>
        <v>7.0688922757851413</v>
      </c>
      <c r="N83">
        <f t="shared" si="6"/>
        <v>6.8073738250809681</v>
      </c>
      <c r="O83">
        <f t="shared" si="6"/>
        <v>6.3780805174993276</v>
      </c>
      <c r="P83">
        <f t="shared" si="6"/>
        <v>5.790868518428165</v>
      </c>
      <c r="Q83">
        <f t="shared" si="6"/>
        <v>5.0595364594106282</v>
      </c>
      <c r="R83">
        <f t="shared" si="6"/>
        <v>4.2018254381450379</v>
      </c>
      <c r="S83">
        <f t="shared" si="6"/>
        <v>3.2394190184848988</v>
      </c>
      <c r="T83">
        <f t="shared" si="6"/>
        <v>2.1979432304389017</v>
      </c>
      <c r="U83">
        <f t="shared" si="6"/>
        <v>1.1069665701709168</v>
      </c>
      <c r="V83">
        <f t="shared" si="6"/>
        <v>0</v>
      </c>
    </row>
  </sheetData>
  <sheetProtection algorithmName="SHA-512" hashValue="VxubD0YLla6Z12Ai5e2muMc+vsG2gDaRMwiKf1iuSKM+mHV/NEXz2BCkUY4R2PQ2nXP3WUf9thQcs92n4BKqyQ==" saltValue="ZOg8otqg4UvTRN7Nb7I8MQ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86EDA-BFD2-4FDC-A31F-F7540600D1CE}">
  <sheetPr codeName="Tabelle19"/>
  <dimension ref="A1:V83"/>
  <sheetViews>
    <sheetView topLeftCell="A4"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22.140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HW*1000+FT1x</f>
        <v>2855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(L+BKOR-WBE-WBE)*1000-(2*PF2x)</f>
        <v>3900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LLWT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PROFILE!A7</f>
        <v>WT200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FT4E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WT1I</f>
        <v>12395050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867653500000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176517600000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21.589921584633444</v>
      </c>
      <c r="J46" s="13">
        <f>6*(E17*E34)/(E18*E44)</f>
        <v>21.589921584633444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4.5198562500000001</v>
      </c>
      <c r="F47" s="20" t="s">
        <v>33</v>
      </c>
      <c r="H47" s="12" t="s">
        <v>205</v>
      </c>
      <c r="I47" s="14">
        <f>E17*10^-3*SQRT(E47/(E44*10^-9))</f>
        <v>0.4568508285932914</v>
      </c>
      <c r="J47" s="14">
        <f>E17*10^-3*SQRT(E47/(E44*10^-9))</f>
        <v>0.4568508285932914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4.6218630208333336</v>
      </c>
      <c r="F48" s="3" t="s">
        <v>33</v>
      </c>
      <c r="H48" s="12" t="s">
        <v>208</v>
      </c>
      <c r="I48">
        <v>1</v>
      </c>
      <c r="J48">
        <f>J47/(TAN(J47))</f>
        <v>0.92944143296400872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0.37243014327524726</v>
      </c>
      <c r="F49" s="3" t="s">
        <v>33</v>
      </c>
      <c r="H49" s="12" t="s">
        <v>211</v>
      </c>
      <c r="I49">
        <v>1</v>
      </c>
      <c r="J49">
        <f>J47/(SIN(J47))</f>
        <v>1.0356515132497837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4.4178494791666667</v>
      </c>
      <c r="F50" s="3" t="s">
        <v>33</v>
      </c>
      <c r="H50" s="12" t="s">
        <v>214</v>
      </c>
      <c r="I50" s="13">
        <v>0.5</v>
      </c>
      <c r="J50" s="15">
        <f>TAN(J47/2)/(J47)</f>
        <v>0.50888178186519473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-0.23308639327524727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0.33806555105239888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0.17081623081279582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-0.61147739077304708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4.2555066049635715E-2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-1.1001224480019578</v>
      </c>
      <c r="F54" s="22" t="s">
        <v>75</v>
      </c>
      <c r="H54" s="12" t="s">
        <v>225</v>
      </c>
      <c r="I54">
        <f>E22/2+E47/E23</f>
        <v>7.8711587499999999E-2</v>
      </c>
      <c r="J54">
        <f>E22/2+E47/E23</f>
        <v>7.8711587499999999E-2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4.4068598437499995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4.3366304629611658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8.0471277588823256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-1.8752757831732241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6.1718519757091013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3.5983202641055736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0.30275826827524727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4.5198562500000001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3.5424849878241687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-0.86437485592583096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8.0471277588823256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-1.8940656550443078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6.1530621038380175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0.76462836035457982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195</v>
      </c>
      <c r="D75">
        <f>$E$18*(2/20)</f>
        <v>390</v>
      </c>
      <c r="E75">
        <f>$E$18*(3/20)</f>
        <v>585</v>
      </c>
      <c r="F75">
        <f>$E$18*(4/20)</f>
        <v>780</v>
      </c>
      <c r="G75">
        <f>$E$18*(5/20)</f>
        <v>975</v>
      </c>
      <c r="H75">
        <f>$E$18*(6/20)</f>
        <v>1170</v>
      </c>
      <c r="I75">
        <f>$E$18*(7/20)</f>
        <v>1365</v>
      </c>
      <c r="J75">
        <f>$E$18*(8/20)</f>
        <v>1560</v>
      </c>
      <c r="K75">
        <f>$E$18*(9/20)</f>
        <v>1755</v>
      </c>
      <c r="L75">
        <f>$E$18*(10/20)</f>
        <v>1950</v>
      </c>
      <c r="M75">
        <f>$E$18*(11/20)</f>
        <v>2145</v>
      </c>
      <c r="N75">
        <f>$E$18*(12/20)</f>
        <v>2340</v>
      </c>
      <c r="O75">
        <f>$E$18*(13/20)</f>
        <v>2535</v>
      </c>
      <c r="P75">
        <f>$E$18*(14/20)</f>
        <v>2730</v>
      </c>
      <c r="Q75">
        <f>$E$18*(15/20)</f>
        <v>2925</v>
      </c>
      <c r="R75">
        <f>$E$18*(16/20)</f>
        <v>3120</v>
      </c>
      <c r="S75">
        <f>$E$18*(17/20)</f>
        <v>3315</v>
      </c>
      <c r="T75">
        <f>$E$18*(18/20)</f>
        <v>3510</v>
      </c>
      <c r="U75">
        <f>$E$18*(19/20)</f>
        <v>3705</v>
      </c>
      <c r="V75">
        <f>$E$18*(20/20)</f>
        <v>3900</v>
      </c>
    </row>
    <row r="76" spans="1:22" ht="17.25" x14ac:dyDescent="0.25">
      <c r="A76" s="12" t="s">
        <v>253</v>
      </c>
      <c r="B76">
        <f>$E$18-B75</f>
        <v>3899</v>
      </c>
      <c r="C76">
        <f>$E$18-C75</f>
        <v>3705</v>
      </c>
      <c r="D76">
        <f t="shared" ref="D76:V76" si="0">$E$18-D75</f>
        <v>3510</v>
      </c>
      <c r="E76">
        <f t="shared" si="0"/>
        <v>3315</v>
      </c>
      <c r="F76">
        <f t="shared" si="0"/>
        <v>3120</v>
      </c>
      <c r="G76">
        <f t="shared" si="0"/>
        <v>2925</v>
      </c>
      <c r="H76">
        <f t="shared" si="0"/>
        <v>2730</v>
      </c>
      <c r="I76">
        <f t="shared" si="0"/>
        <v>2535</v>
      </c>
      <c r="J76">
        <f t="shared" si="0"/>
        <v>2340</v>
      </c>
      <c r="K76">
        <f t="shared" si="0"/>
        <v>2145</v>
      </c>
      <c r="L76">
        <f t="shared" si="0"/>
        <v>1950</v>
      </c>
      <c r="M76">
        <f t="shared" si="0"/>
        <v>1755</v>
      </c>
      <c r="N76">
        <f t="shared" si="0"/>
        <v>1560</v>
      </c>
      <c r="O76">
        <f t="shared" si="0"/>
        <v>1365</v>
      </c>
      <c r="P76">
        <f t="shared" si="0"/>
        <v>1170</v>
      </c>
      <c r="Q76">
        <f t="shared" si="0"/>
        <v>975</v>
      </c>
      <c r="R76">
        <f t="shared" si="0"/>
        <v>780</v>
      </c>
      <c r="S76">
        <f t="shared" si="0"/>
        <v>585</v>
      </c>
      <c r="T76">
        <f t="shared" si="0"/>
        <v>390</v>
      </c>
      <c r="U76">
        <f t="shared" si="0"/>
        <v>195</v>
      </c>
      <c r="V76">
        <f t="shared" si="0"/>
        <v>0</v>
      </c>
    </row>
    <row r="77" spans="1:22" x14ac:dyDescent="0.25">
      <c r="A77" s="12" t="s">
        <v>254</v>
      </c>
      <c r="B77">
        <f>B75/$E$18</f>
        <v>2.5641025641025641E-4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0.99974358974358979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6.6027706263643311E-3</v>
      </c>
      <c r="C79">
        <f t="shared" si="2"/>
        <v>1.281263681769244</v>
      </c>
      <c r="D79">
        <f t="shared" si="2"/>
        <v>2.5261543460683402</v>
      </c>
      <c r="E79">
        <f t="shared" si="2"/>
        <v>3.7018397116410466</v>
      </c>
      <c r="F79">
        <f t="shared" si="2"/>
        <v>4.7793501185553913</v>
      </c>
      <c r="G79">
        <f t="shared" si="2"/>
        <v>5.7335785282036564</v>
      </c>
      <c r="H79">
        <f t="shared" si="2"/>
        <v>6.5432805233023954</v>
      </c>
      <c r="I79">
        <f t="shared" si="2"/>
        <v>7.1910743078924249</v>
      </c>
      <c r="J79">
        <f t="shared" si="2"/>
        <v>7.6634407073388147</v>
      </c>
      <c r="K79">
        <f t="shared" si="2"/>
        <v>7.9507231683309172</v>
      </c>
      <c r="L79">
        <f t="shared" si="2"/>
        <v>8.0471277588823273</v>
      </c>
      <c r="M79">
        <f t="shared" si="2"/>
        <v>7.9507231683309172</v>
      </c>
      <c r="N79">
        <f t="shared" si="2"/>
        <v>7.6634407073388147</v>
      </c>
      <c r="O79">
        <f t="shared" si="2"/>
        <v>7.1910743078924249</v>
      </c>
      <c r="P79">
        <f t="shared" si="2"/>
        <v>6.5432805233023954</v>
      </c>
      <c r="Q79">
        <f t="shared" si="2"/>
        <v>5.7335785282036564</v>
      </c>
      <c r="R79">
        <f t="shared" si="2"/>
        <v>4.7793501185553913</v>
      </c>
      <c r="S79">
        <f t="shared" si="2"/>
        <v>3.7018397116410475</v>
      </c>
      <c r="T79">
        <f t="shared" si="2"/>
        <v>2.5261543460683402</v>
      </c>
      <c r="U79">
        <f t="shared" si="2"/>
        <v>1.281263681769244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-1.7399738946808007E-3</v>
      </c>
      <c r="C80">
        <f t="shared" si="3"/>
        <v>-0.32578614106971704</v>
      </c>
      <c r="D80">
        <f t="shared" si="3"/>
        <v>-0.6237034794443469</v>
      </c>
      <c r="E80">
        <f t="shared" si="3"/>
        <v>-0.89268126923851498</v>
      </c>
      <c r="F80">
        <f t="shared" si="3"/>
        <v>-1.1316487645668452</v>
      </c>
      <c r="G80">
        <f t="shared" si="3"/>
        <v>-1.3395352195439625</v>
      </c>
      <c r="H80">
        <f t="shared" si="3"/>
        <v>-1.5152698882844924</v>
      </c>
      <c r="I80">
        <f t="shared" si="3"/>
        <v>-1.6577820249030584</v>
      </c>
      <c r="J80">
        <f t="shared" si="3"/>
        <v>-1.7660008835142857</v>
      </c>
      <c r="K80">
        <f t="shared" si="3"/>
        <v>-1.8388557182327998</v>
      </c>
      <c r="L80">
        <f t="shared" si="3"/>
        <v>-1.8752757831732239</v>
      </c>
      <c r="M80">
        <f t="shared" si="3"/>
        <v>-1.8741903324501841</v>
      </c>
      <c r="N80">
        <f t="shared" si="3"/>
        <v>-1.8345286201783046</v>
      </c>
      <c r="O80">
        <f t="shared" si="3"/>
        <v>-1.7552199004722095</v>
      </c>
      <c r="P80">
        <f t="shared" si="3"/>
        <v>-1.6351934274465245</v>
      </c>
      <c r="Q80">
        <f t="shared" si="3"/>
        <v>-1.4733784552158737</v>
      </c>
      <c r="R80">
        <f t="shared" si="3"/>
        <v>-1.2687042378948816</v>
      </c>
      <c r="S80">
        <f t="shared" si="3"/>
        <v>-1.0201000295981741</v>
      </c>
      <c r="T80">
        <f t="shared" si="3"/>
        <v>-0.72649508444037425</v>
      </c>
      <c r="U80">
        <f t="shared" si="3"/>
        <v>-0.38681865653610847</v>
      </c>
      <c r="V80">
        <f t="shared" si="3"/>
        <v>0</v>
      </c>
    </row>
    <row r="81" spans="1:22" x14ac:dyDescent="0.25">
      <c r="A81" s="12" t="s">
        <v>258</v>
      </c>
      <c r="B81">
        <f>SUM(B79:B80)*-1</f>
        <v>-4.8627967316835306E-3</v>
      </c>
      <c r="C81">
        <f t="shared" ref="C81:V81" si="4">SUM(C79:C80)*-1</f>
        <v>-0.95547754069952695</v>
      </c>
      <c r="D81">
        <f t="shared" si="4"/>
        <v>-1.9024508666239934</v>
      </c>
      <c r="E81">
        <f t="shared" si="4"/>
        <v>-2.8091584424025315</v>
      </c>
      <c r="F81">
        <f t="shared" si="4"/>
        <v>-3.6477013539885461</v>
      </c>
      <c r="G81">
        <f t="shared" si="4"/>
        <v>-4.3940433086596942</v>
      </c>
      <c r="H81">
        <f t="shared" si="4"/>
        <v>-5.0280106350179032</v>
      </c>
      <c r="I81">
        <f t="shared" si="4"/>
        <v>-5.5332922829893665</v>
      </c>
      <c r="J81">
        <f t="shared" si="4"/>
        <v>-5.8974398238245289</v>
      </c>
      <c r="K81">
        <f t="shared" si="4"/>
        <v>-6.1118674500981172</v>
      </c>
      <c r="L81">
        <f t="shared" si="4"/>
        <v>-6.171851975709103</v>
      </c>
      <c r="M81">
        <f t="shared" si="4"/>
        <v>-6.0765328358807329</v>
      </c>
      <c r="N81">
        <f t="shared" si="4"/>
        <v>-5.8289120871605098</v>
      </c>
      <c r="O81">
        <f t="shared" si="4"/>
        <v>-5.4358544074202158</v>
      </c>
      <c r="P81">
        <f t="shared" si="4"/>
        <v>-4.9080870958558709</v>
      </c>
      <c r="Q81">
        <f t="shared" si="4"/>
        <v>-4.2602000729877822</v>
      </c>
      <c r="R81">
        <f t="shared" si="4"/>
        <v>-3.5106458806605096</v>
      </c>
      <c r="S81">
        <f t="shared" si="4"/>
        <v>-2.6817396820428732</v>
      </c>
      <c r="T81">
        <f t="shared" si="4"/>
        <v>-1.7996592616279661</v>
      </c>
      <c r="U81">
        <f t="shared" si="4"/>
        <v>-0.89444502523313552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-1.9421333304449212E-3</v>
      </c>
      <c r="C82">
        <f t="shared" ref="C82:V82" si="5">(((C78-C78^3)*$E$67*10^9+(C77-C77^3)*$E$67*10^9)/(6*$E$34))*$E$18^2*10^-3</f>
        <v>-0.35987247445841863</v>
      </c>
      <c r="D82">
        <f t="shared" si="5"/>
        <v>-0.68186363581595066</v>
      </c>
      <c r="E82">
        <f t="shared" si="5"/>
        <v>-0.96597348407259709</v>
      </c>
      <c r="F82">
        <f t="shared" si="5"/>
        <v>-1.2122020192283567</v>
      </c>
      <c r="G82">
        <f t="shared" si="5"/>
        <v>-1.420549241283231</v>
      </c>
      <c r="H82">
        <f t="shared" si="5"/>
        <v>-1.5910151502372185</v>
      </c>
      <c r="I82">
        <f t="shared" si="5"/>
        <v>-1.7235997460903199</v>
      </c>
      <c r="J82">
        <f t="shared" si="5"/>
        <v>-1.818303028842535</v>
      </c>
      <c r="K82">
        <f t="shared" si="5"/>
        <v>-1.8751249984938645</v>
      </c>
      <c r="L82">
        <f t="shared" si="5"/>
        <v>-1.8940656550443078</v>
      </c>
      <c r="M82">
        <f t="shared" si="5"/>
        <v>-1.8751249984938645</v>
      </c>
      <c r="N82">
        <f t="shared" si="5"/>
        <v>-1.818303028842535</v>
      </c>
      <c r="O82">
        <f t="shared" si="5"/>
        <v>-1.7235997460903199</v>
      </c>
      <c r="P82">
        <f t="shared" si="5"/>
        <v>-1.5910151502372185</v>
      </c>
      <c r="Q82">
        <f t="shared" si="5"/>
        <v>-1.420549241283231</v>
      </c>
      <c r="R82">
        <f t="shared" si="5"/>
        <v>-1.2122020192283567</v>
      </c>
      <c r="S82">
        <f t="shared" si="5"/>
        <v>-0.96597348407259709</v>
      </c>
      <c r="T82">
        <f t="shared" si="5"/>
        <v>-0.68186363581595066</v>
      </c>
      <c r="U82">
        <f t="shared" si="5"/>
        <v>-0.35987247445841863</v>
      </c>
      <c r="V82">
        <f t="shared" si="5"/>
        <v>0</v>
      </c>
    </row>
    <row r="83" spans="1:22" x14ac:dyDescent="0.25">
      <c r="A83" s="12" t="s">
        <v>259</v>
      </c>
      <c r="B83">
        <f>SUM(B79+B82)</f>
        <v>4.6606372959194101E-3</v>
      </c>
      <c r="C83">
        <f t="shared" ref="C83:V83" si="6">SUM(C79+C82)</f>
        <v>0.92139120731082536</v>
      </c>
      <c r="D83">
        <f t="shared" si="6"/>
        <v>1.8442907102523896</v>
      </c>
      <c r="E83">
        <f t="shared" si="6"/>
        <v>2.7358662275684495</v>
      </c>
      <c r="F83">
        <f t="shared" si="6"/>
        <v>3.5671480993270346</v>
      </c>
      <c r="G83">
        <f t="shared" si="6"/>
        <v>4.3130292869204254</v>
      </c>
      <c r="H83">
        <f t="shared" si="6"/>
        <v>4.9522653730651767</v>
      </c>
      <c r="I83">
        <f t="shared" si="6"/>
        <v>5.4674745618021046</v>
      </c>
      <c r="J83">
        <f t="shared" si="6"/>
        <v>5.8451376784962799</v>
      </c>
      <c r="K83">
        <f t="shared" si="6"/>
        <v>6.0755981698370523</v>
      </c>
      <c r="L83">
        <f t="shared" si="6"/>
        <v>6.1530621038380193</v>
      </c>
      <c r="M83">
        <f t="shared" si="6"/>
        <v>6.0755981698370523</v>
      </c>
      <c r="N83">
        <f t="shared" si="6"/>
        <v>5.8451376784962799</v>
      </c>
      <c r="O83">
        <f t="shared" si="6"/>
        <v>5.4674745618021046</v>
      </c>
      <c r="P83">
        <f t="shared" si="6"/>
        <v>4.9522653730651767</v>
      </c>
      <c r="Q83">
        <f t="shared" si="6"/>
        <v>4.3130292869204254</v>
      </c>
      <c r="R83">
        <f t="shared" si="6"/>
        <v>3.5671480993270346</v>
      </c>
      <c r="S83">
        <f t="shared" si="6"/>
        <v>2.7358662275684504</v>
      </c>
      <c r="T83">
        <f t="shared" si="6"/>
        <v>1.8442907102523896</v>
      </c>
      <c r="U83">
        <f t="shared" si="6"/>
        <v>0.92139120731082536</v>
      </c>
      <c r="V83">
        <f t="shared" si="6"/>
        <v>0</v>
      </c>
    </row>
  </sheetData>
  <sheetProtection algorithmName="SHA-512" hashValue="gXdosLKG1tpLoXkObpjYDznjHknAIs6VPmdYMZ4ejE/+kfXfNz1+jhn/0wv8e5F7KeUS3YtAmgknBZLpgKBOPQ==" saltValue="uvwReTkT8LkMLF3dWTYXIA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DDF05-163A-47E3-A87F-D379A108FE5D}">
  <sheetPr codeName="Tabelle2"/>
  <dimension ref="A1:L18"/>
  <sheetViews>
    <sheetView workbookViewId="0">
      <selection activeCell="N26" sqref="N26"/>
    </sheetView>
  </sheetViews>
  <sheetFormatPr baseColWidth="10" defaultColWidth="11.42578125" defaultRowHeight="15" x14ac:dyDescent="0.25"/>
  <cols>
    <col min="1" max="5" width="20.140625" customWidth="1"/>
    <col min="6" max="6" width="25.7109375" customWidth="1"/>
    <col min="7" max="7" width="47" customWidth="1"/>
    <col min="8" max="8" width="49" customWidth="1"/>
    <col min="9" max="12" width="20.140625" customWidth="1"/>
  </cols>
  <sheetData>
    <row r="1" spans="1:12" s="164" customFormat="1" x14ac:dyDescent="0.25">
      <c r="A1" s="166" t="s">
        <v>261</v>
      </c>
      <c r="B1" s="166" t="s">
        <v>262</v>
      </c>
      <c r="C1" s="165" t="s">
        <v>263</v>
      </c>
      <c r="D1" s="165" t="s">
        <v>264</v>
      </c>
      <c r="E1" s="167" t="s">
        <v>268</v>
      </c>
      <c r="F1" s="167" t="s">
        <v>269</v>
      </c>
      <c r="G1" s="179" t="s">
        <v>280</v>
      </c>
      <c r="H1" s="180" t="s">
        <v>281</v>
      </c>
      <c r="I1" s="164" t="s">
        <v>18</v>
      </c>
      <c r="J1" s="164" t="s">
        <v>22</v>
      </c>
      <c r="K1" s="164" t="s">
        <v>24</v>
      </c>
      <c r="L1" s="164" t="s">
        <v>54</v>
      </c>
    </row>
    <row r="3" spans="1:12" x14ac:dyDescent="0.25">
      <c r="A3" t="str">
        <f>IF(OR(STVO="keiner",STVO="no"),EINGABE!F55,"")</f>
        <v/>
      </c>
      <c r="B3" t="str">
        <f>IF(OR(STVO="no",STVO="keiner"),EINGABE!J55,"")</f>
        <v/>
      </c>
      <c r="C3" t="str">
        <f>IF(OR(STVO="mitte",STVO="middle"),EINGABE!J55,"")</f>
        <v>F130P80</v>
      </c>
      <c r="D3" t="str">
        <f>IF(C3&lt;&gt;"",EINGABE!J30,"")</f>
        <v>VP80/100</v>
      </c>
      <c r="E3" t="str">
        <f>IF(OR(STVO="alle",STVO="all"),EINGABE!F55,"")</f>
        <v/>
      </c>
      <c r="F3" t="str">
        <f>IF(STVO="alle",EINGABE!J55,"")</f>
        <v/>
      </c>
      <c r="G3" t="str" cm="1">
        <f t="array" ref="G3:G4">EINGABE!F67:F68</f>
        <v>W190P80</v>
      </c>
      <c r="H3" t="str" cm="1">
        <f t="array" ref="H3:H4">EINGABE!J67:J68</f>
        <v>W190P80</v>
      </c>
      <c r="I3" s="175">
        <f>EINGABE!F72</f>
        <v>0</v>
      </c>
      <c r="J3" s="114" t="str" cm="1">
        <f t="array" ref="J3:J5">EINGABE!C84:C86</f>
        <v/>
      </c>
      <c r="K3" s="175" cm="1">
        <f t="array" ref="K3:K5">EINGABE!C94:C96</f>
        <v>95</v>
      </c>
      <c r="L3" t="e" cm="1">
        <f t="array" ref="L3:L4">EINGABE!C104:C105</f>
        <v>#DIV/0!</v>
      </c>
    </row>
    <row r="4" spans="1:12" x14ac:dyDescent="0.25">
      <c r="A4" t="str">
        <f>IF(OR(STVO="keiner",STVO="no"),EINGABE!F56,"")</f>
        <v/>
      </c>
      <c r="B4" t="str">
        <f>IF(OR(STVO="no",STVO="keiner"),EINGABE!J56,"")</f>
        <v/>
      </c>
      <c r="C4" t="str">
        <f>IF(OR(STVO="mitte",STVO="middle"),EINGABE!J56,"")</f>
        <v/>
      </c>
      <c r="D4" t="str">
        <f>IF(C4&lt;&gt;"",EINGABE!J31,"")</f>
        <v/>
      </c>
      <c r="E4" t="str">
        <f>IF(OR(STVO="alle",STVO="all"),EINGABE!F56,"")</f>
        <v/>
      </c>
      <c r="F4" t="str">
        <f>IF(OR(STVO="alle",STVO="all"),EINGABE!J56,"")</f>
        <v/>
      </c>
      <c r="G4" t="str">
        <v>W190P100</v>
      </c>
      <c r="H4" t="str">
        <v>W190P100</v>
      </c>
      <c r="I4" s="175" t="str">
        <f>EINGABE!F73</f>
        <v>80x80</v>
      </c>
      <c r="J4" s="114" t="str">
        <v>135s</v>
      </c>
      <c r="K4" s="175" t="str">
        <v>135s</v>
      </c>
      <c r="L4" t="e">
        <v>#DIV/0!</v>
      </c>
    </row>
    <row r="5" spans="1:12" x14ac:dyDescent="0.25">
      <c r="A5" t="str">
        <f>IF(OR(STVO="keiner",STVO="no"),EINGABE!F57,"")</f>
        <v/>
      </c>
      <c r="B5" t="str">
        <f>IF(OR(STVO="no",STVO="keiner"),EINGABE!J57,"")</f>
        <v/>
      </c>
      <c r="C5" t="str">
        <f>IF(OR(STVO="mitte",STVO="middle"),EINGABE!J57,"")</f>
        <v>F170P80</v>
      </c>
      <c r="D5" t="str">
        <f>IF(C5&lt;&gt;"",EINGABE!J30,"")</f>
        <v>VP80/100</v>
      </c>
      <c r="E5" t="str">
        <f>IF(OR(STVO="alle",STVO="all"),EINGABE!F57,"")</f>
        <v/>
      </c>
      <c r="F5" t="str">
        <f>IF(OR(STVO="alle",STVO="all"),EINGABE!J57,"")</f>
        <v/>
      </c>
      <c r="I5" s="175">
        <f>EINGABE!F74</f>
        <v>0</v>
      </c>
      <c r="J5" s="114" t="str">
        <v>135b</v>
      </c>
      <c r="K5" s="175" t="str">
        <v>135b</v>
      </c>
      <c r="L5" t="e" cm="1">
        <f t="array" ref="L5:L6">EINGABE!G103:G104</f>
        <v>#DIV/0!</v>
      </c>
    </row>
    <row r="6" spans="1:12" x14ac:dyDescent="0.25">
      <c r="A6" t="str">
        <f>IF(OR(STVO="keiner",STVO="no"),EINGABE!F58,"")</f>
        <v/>
      </c>
      <c r="B6" t="str">
        <f>IF(OR(STVO="no",STVO="keiner"),EINGABE!J58,"")</f>
        <v/>
      </c>
      <c r="C6" t="str">
        <f>IF(OR(STVO="mitte",STVO="middle"),EINGABE!J58,"")</f>
        <v/>
      </c>
      <c r="D6" t="str">
        <f>IF(C6&lt;&gt;"",EINGABE!J33,"")</f>
        <v/>
      </c>
      <c r="E6" t="str">
        <f>IF(OR(STVO="alle",STVO="all"),EINGABE!F58,"")</f>
        <v/>
      </c>
      <c r="F6" t="str">
        <f>IF(OR(STVO="alle",STVO="all"),EINGABE!J58,"")</f>
        <v/>
      </c>
      <c r="I6" s="175" t="str">
        <f>EINGABE!F75</f>
        <v>80x200</v>
      </c>
      <c r="J6" s="114" t="str" cm="1">
        <f t="array" ref="J6:J8">EINGABE!C88:C90</f>
        <v>95 + S</v>
      </c>
      <c r="K6" s="175" t="str" cm="1">
        <f t="array" ref="K6:K8">EINGABE!C99:C101</f>
        <v>95 + S</v>
      </c>
      <c r="L6" t="e">
        <v>#DIV/0!</v>
      </c>
    </row>
    <row r="7" spans="1:12" x14ac:dyDescent="0.25">
      <c r="A7" t="str">
        <f>IF(OR(STVO="keiner",STVO="no"),EINGABE!F59,"")</f>
        <v/>
      </c>
      <c r="B7" t="str">
        <f>IF(OR(STVO="no",STVO="keiner"),EINGABE!J59,"")</f>
        <v/>
      </c>
      <c r="C7" t="str">
        <f>IF(OR(STVO="mitte",STVO="middle"),EINGABE!J59,"")</f>
        <v>F205P80</v>
      </c>
      <c r="D7" t="str">
        <f>IF(C7&lt;&gt;"",EINGABE!J30,"")</f>
        <v>VP80/100</v>
      </c>
      <c r="E7" t="str">
        <f>IF(OR(STVO="alle",STVO="all"),EINGABE!F59,"")</f>
        <v/>
      </c>
      <c r="F7" t="str">
        <f>IF(OR(STVO="alle",STVO="all"),EINGABE!J59,"")</f>
        <v/>
      </c>
      <c r="I7" s="175" t="str">
        <f>EINGABE!F76</f>
        <v>80x40S</v>
      </c>
      <c r="J7" s="114" t="str">
        <v>135s + S</v>
      </c>
      <c r="K7" s="175" t="str">
        <v>135s + S</v>
      </c>
    </row>
    <row r="8" spans="1:12" x14ac:dyDescent="0.25">
      <c r="A8" t="str">
        <f>IF(OR(STVO="keiner",STVO="no"),EINGABE!F60,"")</f>
        <v/>
      </c>
      <c r="B8" t="str">
        <f>IF(OR(STVO="no",STVO="keiner"),EINGABE!J60,"")</f>
        <v/>
      </c>
      <c r="C8" t="str">
        <f>IF(OR(STVO="mitte",STVO="middle"),EINGABE!J60,"")</f>
        <v/>
      </c>
      <c r="D8" t="str">
        <f>IF(C8&lt;&gt;"",EINGABE!J35,"")</f>
        <v/>
      </c>
      <c r="E8" t="str">
        <f>IF(OR(STVO="alle",STVO="all"),EINGABE!F60,"")</f>
        <v/>
      </c>
      <c r="F8" t="str">
        <f>IF(OR(STVO="alle",STVO="all"),EINGABE!J60,"")</f>
        <v/>
      </c>
      <c r="I8" s="175" t="str">
        <f>EINGABE!F77</f>
        <v>80x80S</v>
      </c>
      <c r="J8" s="114" t="str">
        <v>135b + S</v>
      </c>
      <c r="K8" s="175" t="str">
        <v>135b + S</v>
      </c>
    </row>
    <row r="9" spans="1:12" x14ac:dyDescent="0.25">
      <c r="A9" t="str">
        <f>IF(OR(STVO="keiner",STVO="no"),EINGABE!F61,"")</f>
        <v/>
      </c>
      <c r="B9" t="str">
        <f>IF(OR(STVO="no",STVO="keiner"),EINGABE!J61,"")</f>
        <v/>
      </c>
      <c r="C9" t="str">
        <f>IF(OR(STVO="mitte",STVO="middle"),EINGABE!J61,"")</f>
        <v>F240P80</v>
      </c>
      <c r="D9" t="str">
        <f>IF(C9&lt;&gt;"",EINGABE!J30,"")</f>
        <v>VP80/100</v>
      </c>
      <c r="E9" t="str">
        <f>IF(OR(STVO="alle",STVO="all"),EINGABE!F61,"")</f>
        <v/>
      </c>
      <c r="F9" t="str">
        <f>IF(OR(STVO="alle",STVO="all"),EINGABE!J61,"")</f>
        <v/>
      </c>
      <c r="I9" s="175" t="str">
        <f>EINGABE!F78</f>
        <v>80x100S</v>
      </c>
      <c r="J9" t="str" cm="1">
        <f t="array" ref="J9:J10">EINGABE!G83:G84</f>
        <v/>
      </c>
      <c r="K9" s="175" cm="1">
        <f t="array" ref="K9:K11">EINGABE!F93:F95</f>
        <v>95</v>
      </c>
    </row>
    <row r="10" spans="1:12" x14ac:dyDescent="0.25">
      <c r="A10" t="str">
        <f>IF(OR(STVO="keiner",STVO="no"),EINGABE!F62,"")</f>
        <v/>
      </c>
      <c r="B10" t="str">
        <f>IF(OR(STVO="no",STVO="keiner"),EINGABE!J62,"")</f>
        <v/>
      </c>
      <c r="C10" t="str">
        <f>IF(OR(STVO="mitte",STVO="middle"),EINGABE!J62,"")</f>
        <v/>
      </c>
      <c r="D10" t="str">
        <f>IF(C10&lt;&gt;"",EINGABE!J37,"")</f>
        <v/>
      </c>
      <c r="E10" t="str">
        <f>IF(OR(STVO="alle",STVO="all"),EINGABE!F62,"")</f>
        <v/>
      </c>
      <c r="F10" t="str">
        <f>IF(OR(STVO="alle",STVO="all"),EINGABE!J62,"")</f>
        <v/>
      </c>
      <c r="I10" s="175" t="str">
        <f>EINGABE!F79</f>
        <v>80x200S</v>
      </c>
      <c r="J10" s="114" t="str">
        <v>165i</v>
      </c>
      <c r="K10" s="175" t="str">
        <v>135s</v>
      </c>
    </row>
    <row r="11" spans="1:12" x14ac:dyDescent="0.25">
      <c r="A11" t="str">
        <f>IF(OR(STVO="keiner",STVO="no"),EINGABE!F63,"")</f>
        <v/>
      </c>
      <c r="C11">
        <f>IF(STVO="mitte",EINGABE!J63,"")</f>
        <v>0</v>
      </c>
      <c r="J11" s="114" t="str" cm="1">
        <f t="array" ref="J11:J14">EINGABE!G87:G90</f>
        <v/>
      </c>
      <c r="K11" s="175" t="str">
        <v>135b</v>
      </c>
    </row>
    <row r="12" spans="1:12" x14ac:dyDescent="0.25">
      <c r="A12" t="str">
        <f>IF(OR(STVO="keiner",STVO="no"),EINGABE!F64,"")</f>
        <v/>
      </c>
      <c r="B12" t="str">
        <f>IF(STVO="keiner",EINGABE!J64,"")</f>
        <v/>
      </c>
      <c r="C12" t="str">
        <f>IF(STVO="mitte",EINGABE!J64,"")</f>
        <v/>
      </c>
      <c r="D12" t="str">
        <f>IF(C12&lt;&gt;"",EINGABE!J39,"")</f>
        <v/>
      </c>
      <c r="E12" t="str">
        <f>IF(OR(STVO="alle",STVO="all"),EINGABE!F64,"")</f>
        <v/>
      </c>
      <c r="F12" t="str">
        <f>IF(OR(STVO="alle",STVO="all"),EINGABE!J64,"")</f>
        <v/>
      </c>
      <c r="J12" s="114" t="str">
        <v/>
      </c>
      <c r="K12" s="175" t="str" cm="1">
        <f t="array" ref="K12:K14">EINGABE!F98:F100</f>
        <v>95 + S</v>
      </c>
    </row>
    <row r="13" spans="1:12" x14ac:dyDescent="0.25">
      <c r="J13" s="114" t="str">
        <v>165i + S (V1)</v>
      </c>
      <c r="K13" s="175" t="str">
        <v>135s + S</v>
      </c>
    </row>
    <row r="14" spans="1:12" x14ac:dyDescent="0.25">
      <c r="J14" s="114" t="str">
        <v>165i + S (V2)</v>
      </c>
      <c r="K14" s="175" t="str">
        <v>135b + S</v>
      </c>
    </row>
    <row r="15" spans="1:12" x14ac:dyDescent="0.25">
      <c r="J15" s="114"/>
    </row>
    <row r="16" spans="1:12" x14ac:dyDescent="0.25">
      <c r="J16" s="114"/>
    </row>
    <row r="17" spans="10:10" x14ac:dyDescent="0.25">
      <c r="J17" s="114"/>
    </row>
    <row r="18" spans="10:10" x14ac:dyDescent="0.25">
      <c r="J18" s="114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2F9C6-DDAF-447C-AC1D-33AE2F7B4754}">
  <sheetPr codeName="Tabelle3"/>
  <dimension ref="A3:U110"/>
  <sheetViews>
    <sheetView topLeftCell="E55" workbookViewId="0">
      <selection activeCell="N26" sqref="N26"/>
    </sheetView>
  </sheetViews>
  <sheetFormatPr baseColWidth="10" defaultColWidth="11.42578125" defaultRowHeight="15" x14ac:dyDescent="0.25"/>
  <cols>
    <col min="18" max="18" width="24" customWidth="1"/>
    <col min="19" max="19" width="30.85546875" customWidth="1"/>
    <col min="20" max="20" width="35.28515625" customWidth="1"/>
    <col min="21" max="21" width="16.42578125" customWidth="1"/>
  </cols>
  <sheetData>
    <row r="3" spans="1:21" x14ac:dyDescent="0.25">
      <c r="A3" t="s">
        <v>3</v>
      </c>
      <c r="B3" t="s">
        <v>55</v>
      </c>
      <c r="C3" t="s">
        <v>56</v>
      </c>
      <c r="D3" t="s">
        <v>57</v>
      </c>
      <c r="F3" t="s">
        <v>58</v>
      </c>
      <c r="G3" t="s">
        <v>59</v>
      </c>
      <c r="H3" t="s">
        <v>60</v>
      </c>
      <c r="J3" t="s">
        <v>61</v>
      </c>
      <c r="K3" t="s">
        <v>62</v>
      </c>
      <c r="L3" t="s">
        <v>63</v>
      </c>
      <c r="M3" t="s">
        <v>64</v>
      </c>
      <c r="N3" t="str">
        <f>U34</f>
        <v>ja</v>
      </c>
      <c r="O3" t="str">
        <f>U37</f>
        <v>keiner</v>
      </c>
      <c r="P3" t="str">
        <f>U34</f>
        <v>ja</v>
      </c>
      <c r="S3" t="s">
        <v>287</v>
      </c>
      <c r="T3" t="s">
        <v>288</v>
      </c>
      <c r="U3" t="str">
        <f t="shared" ref="U3:U43" si="0">IF(SPRA="deutsch",S3,T3)</f>
        <v>Deutsch</v>
      </c>
    </row>
    <row r="4" spans="1:21" x14ac:dyDescent="0.25">
      <c r="D4">
        <f>INT((L-0.18)/0.6)+1</f>
        <v>7</v>
      </c>
      <c r="J4">
        <f>L/2-PFAE-PFBE</f>
        <v>2</v>
      </c>
      <c r="N4" t="str">
        <f>U35</f>
        <v>nein</v>
      </c>
      <c r="O4" t="str">
        <f t="shared" ref="O4:O5" si="1">U38</f>
        <v>mitte</v>
      </c>
      <c r="P4" t="str">
        <f>U35</f>
        <v>nein</v>
      </c>
      <c r="S4" t="s">
        <v>289</v>
      </c>
      <c r="T4" t="s">
        <v>333</v>
      </c>
      <c r="U4" t="str">
        <f t="shared" si="0"/>
        <v>Statik PRIME</v>
      </c>
    </row>
    <row r="5" spans="1:21" x14ac:dyDescent="0.25">
      <c r="A5">
        <v>1.5</v>
      </c>
      <c r="B5">
        <v>1.5</v>
      </c>
      <c r="C5">
        <v>1.5</v>
      </c>
      <c r="D5">
        <v>1</v>
      </c>
      <c r="E5">
        <f t="shared" ref="E5:E43" si="2">IF(D5&lt;=ANSP,D5,"")</f>
        <v>1</v>
      </c>
      <c r="F5">
        <v>0.1</v>
      </c>
      <c r="G5" s="13">
        <v>0.2</v>
      </c>
      <c r="H5" s="60">
        <v>0.3</v>
      </c>
      <c r="I5" s="60">
        <v>0</v>
      </c>
      <c r="J5">
        <f t="shared" ref="J5:J36" si="3">IF(I5&lt;MAEX,I5,"")</f>
        <v>0</v>
      </c>
      <c r="K5">
        <f>IF(STVO="alle",0.3,0)</f>
        <v>0</v>
      </c>
      <c r="L5">
        <v>0</v>
      </c>
      <c r="M5">
        <v>-4.7</v>
      </c>
      <c r="O5" t="str">
        <f t="shared" si="1"/>
        <v>alle</v>
      </c>
      <c r="S5" t="s">
        <v>265</v>
      </c>
      <c r="T5" t="s">
        <v>299</v>
      </c>
      <c r="U5" t="str">
        <f t="shared" si="0"/>
        <v>Pfosten und Frontträger</v>
      </c>
    </row>
    <row r="6" spans="1:21" x14ac:dyDescent="0.25">
      <c r="A6">
        <v>1.6</v>
      </c>
      <c r="B6">
        <v>1.6</v>
      </c>
      <c r="C6">
        <v>1.6</v>
      </c>
      <c r="D6">
        <v>2</v>
      </c>
      <c r="E6">
        <f t="shared" si="2"/>
        <v>2</v>
      </c>
      <c r="F6">
        <v>0.2</v>
      </c>
      <c r="G6" s="13">
        <v>0.3</v>
      </c>
      <c r="H6" s="60">
        <v>0.4</v>
      </c>
      <c r="I6" s="60">
        <v>0.1</v>
      </c>
      <c r="J6">
        <f t="shared" si="3"/>
        <v>0.1</v>
      </c>
      <c r="K6">
        <v>0.3</v>
      </c>
      <c r="L6">
        <v>0.1</v>
      </c>
      <c r="M6">
        <v>-4.5999999999999996</v>
      </c>
      <c r="S6" t="s">
        <v>14</v>
      </c>
      <c r="T6" t="s">
        <v>300</v>
      </c>
      <c r="U6" t="str">
        <f t="shared" si="0"/>
        <v>Wandanschluss</v>
      </c>
    </row>
    <row r="7" spans="1:21" x14ac:dyDescent="0.25">
      <c r="A7">
        <v>1.7</v>
      </c>
      <c r="B7">
        <v>1.7</v>
      </c>
      <c r="C7">
        <v>1.7</v>
      </c>
      <c r="D7">
        <v>3</v>
      </c>
      <c r="E7">
        <f t="shared" si="2"/>
        <v>3</v>
      </c>
      <c r="F7">
        <v>0.3</v>
      </c>
      <c r="G7" s="13">
        <v>0.4</v>
      </c>
      <c r="H7" s="60">
        <v>0.5</v>
      </c>
      <c r="I7" s="60">
        <v>0.2</v>
      </c>
      <c r="J7">
        <f t="shared" si="3"/>
        <v>0.2</v>
      </c>
      <c r="K7">
        <v>0.4</v>
      </c>
      <c r="L7">
        <v>0.2</v>
      </c>
      <c r="M7">
        <v>-4.5</v>
      </c>
      <c r="S7" t="s">
        <v>15</v>
      </c>
      <c r="T7" t="s">
        <v>322</v>
      </c>
      <c r="U7" t="str">
        <f t="shared" si="0"/>
        <v>freitragend</v>
      </c>
    </row>
    <row r="8" spans="1:21" x14ac:dyDescent="0.25">
      <c r="A8">
        <v>1.8</v>
      </c>
      <c r="B8">
        <v>1.8</v>
      </c>
      <c r="C8">
        <v>1.8</v>
      </c>
      <c r="D8">
        <v>4</v>
      </c>
      <c r="E8">
        <f t="shared" si="2"/>
        <v>4</v>
      </c>
      <c r="F8">
        <v>0.4</v>
      </c>
      <c r="G8" s="13">
        <v>0.5</v>
      </c>
      <c r="H8" s="60">
        <v>0.6</v>
      </c>
      <c r="I8" s="60">
        <v>0.3</v>
      </c>
      <c r="J8">
        <f t="shared" si="3"/>
        <v>0.3</v>
      </c>
      <c r="K8">
        <v>0.5</v>
      </c>
      <c r="L8">
        <v>0.3</v>
      </c>
      <c r="M8">
        <v>-4.4000000000000004</v>
      </c>
      <c r="S8" t="s">
        <v>18</v>
      </c>
      <c r="T8" t="s">
        <v>301</v>
      </c>
      <c r="U8" t="str">
        <f t="shared" si="0"/>
        <v>Traverse</v>
      </c>
    </row>
    <row r="9" spans="1:21" x14ac:dyDescent="0.25">
      <c r="A9">
        <v>1.9</v>
      </c>
      <c r="B9">
        <v>1.9</v>
      </c>
      <c r="C9">
        <v>1.9</v>
      </c>
      <c r="D9">
        <v>5</v>
      </c>
      <c r="E9">
        <f t="shared" si="2"/>
        <v>5</v>
      </c>
      <c r="F9">
        <v>0.5</v>
      </c>
      <c r="G9" s="13">
        <v>0.6</v>
      </c>
      <c r="H9" s="60">
        <v>0.7</v>
      </c>
      <c r="I9" s="60">
        <v>0.4</v>
      </c>
      <c r="J9">
        <f t="shared" si="3"/>
        <v>0.4</v>
      </c>
      <c r="K9">
        <v>0.6</v>
      </c>
      <c r="L9">
        <v>0.4</v>
      </c>
      <c r="M9">
        <v>-4.3</v>
      </c>
      <c r="S9" t="s">
        <v>22</v>
      </c>
      <c r="T9" t="s">
        <v>302</v>
      </c>
      <c r="U9" t="str">
        <f t="shared" si="0"/>
        <v>Sparren</v>
      </c>
    </row>
    <row r="10" spans="1:21" x14ac:dyDescent="0.25">
      <c r="A10">
        <v>2</v>
      </c>
      <c r="B10">
        <v>2</v>
      </c>
      <c r="C10">
        <v>2</v>
      </c>
      <c r="D10">
        <v>6</v>
      </c>
      <c r="E10">
        <f t="shared" si="2"/>
        <v>6</v>
      </c>
      <c r="F10">
        <v>0.6</v>
      </c>
      <c r="G10" s="13">
        <v>0.7</v>
      </c>
      <c r="H10" s="60">
        <v>0.8</v>
      </c>
      <c r="I10" s="60">
        <v>0.5</v>
      </c>
      <c r="J10">
        <f t="shared" si="3"/>
        <v>0.5</v>
      </c>
      <c r="K10">
        <v>0.7</v>
      </c>
      <c r="L10">
        <v>0.5</v>
      </c>
      <c r="M10">
        <v>-4.2</v>
      </c>
      <c r="S10" t="s">
        <v>290</v>
      </c>
      <c r="T10" t="s">
        <v>303</v>
      </c>
      <c r="U10" t="str">
        <f t="shared" si="0"/>
        <v>Feldsparren (Statik aussen)</v>
      </c>
    </row>
    <row r="11" spans="1:21" x14ac:dyDescent="0.25">
      <c r="A11">
        <v>2.1</v>
      </c>
      <c r="B11">
        <v>2.1</v>
      </c>
      <c r="C11">
        <v>2.1</v>
      </c>
      <c r="D11">
        <v>7</v>
      </c>
      <c r="E11">
        <f t="shared" si="2"/>
        <v>7</v>
      </c>
      <c r="G11" s="13">
        <v>0.8</v>
      </c>
      <c r="H11" s="60">
        <v>0.9</v>
      </c>
      <c r="I11" s="60">
        <v>0.6</v>
      </c>
      <c r="J11">
        <f t="shared" si="3"/>
        <v>0.6</v>
      </c>
      <c r="K11">
        <v>0.8</v>
      </c>
      <c r="L11">
        <v>0.6</v>
      </c>
      <c r="M11">
        <v>-4.0999999999999996</v>
      </c>
      <c r="S11" t="s">
        <v>291</v>
      </c>
      <c r="T11" t="s">
        <v>304</v>
      </c>
      <c r="U11" t="str">
        <f t="shared" si="0"/>
        <v>Feldsparren (Statik innen/aussen)</v>
      </c>
    </row>
    <row r="12" spans="1:21" x14ac:dyDescent="0.25">
      <c r="A12">
        <v>2.2000000000000002</v>
      </c>
      <c r="B12">
        <v>2.2000000000000002</v>
      </c>
      <c r="C12">
        <v>2.2000000000000002</v>
      </c>
      <c r="D12">
        <v>8</v>
      </c>
      <c r="E12" t="str">
        <f t="shared" si="2"/>
        <v/>
      </c>
      <c r="G12" s="13">
        <v>0.9</v>
      </c>
      <c r="H12" s="60">
        <v>1</v>
      </c>
      <c r="I12" s="60">
        <v>0.7</v>
      </c>
      <c r="J12">
        <f t="shared" si="3"/>
        <v>0.7</v>
      </c>
      <c r="K12">
        <v>0.9</v>
      </c>
      <c r="L12">
        <v>0.7</v>
      </c>
      <c r="M12">
        <v>-4</v>
      </c>
      <c r="S12" t="s">
        <v>24</v>
      </c>
      <c r="T12" t="s">
        <v>305</v>
      </c>
      <c r="U12" t="str">
        <f t="shared" si="0"/>
        <v>Randsparren</v>
      </c>
    </row>
    <row r="13" spans="1:21" x14ac:dyDescent="0.25">
      <c r="A13">
        <v>2.2999999999999998</v>
      </c>
      <c r="B13">
        <v>2.2999999999999998</v>
      </c>
      <c r="C13">
        <v>2.2999999999999998</v>
      </c>
      <c r="D13">
        <v>9</v>
      </c>
      <c r="E13" t="str">
        <f t="shared" si="2"/>
        <v/>
      </c>
      <c r="G13" s="13">
        <v>1</v>
      </c>
      <c r="H13" s="60">
        <v>1.1000000000000001</v>
      </c>
      <c r="I13" s="60">
        <v>0.8</v>
      </c>
      <c r="J13">
        <f t="shared" si="3"/>
        <v>0.8</v>
      </c>
      <c r="K13">
        <v>1</v>
      </c>
      <c r="L13">
        <v>0.8</v>
      </c>
      <c r="M13">
        <v>-3.9</v>
      </c>
      <c r="S13" t="s">
        <v>54</v>
      </c>
      <c r="T13" t="s">
        <v>306</v>
      </c>
      <c r="U13" t="str">
        <f t="shared" si="0"/>
        <v>Gratsparren</v>
      </c>
    </row>
    <row r="14" spans="1:21" x14ac:dyDescent="0.25">
      <c r="A14">
        <v>2.4</v>
      </c>
      <c r="B14">
        <v>2.4</v>
      </c>
      <c r="C14">
        <v>2.4</v>
      </c>
      <c r="D14">
        <v>10</v>
      </c>
      <c r="E14" t="str">
        <f t="shared" si="2"/>
        <v/>
      </c>
      <c r="G14" s="13">
        <v>1.1000000000000001</v>
      </c>
      <c r="H14" s="60">
        <v>1.2</v>
      </c>
      <c r="I14" s="60">
        <v>0.9</v>
      </c>
      <c r="J14">
        <f t="shared" si="3"/>
        <v>0.9</v>
      </c>
      <c r="K14">
        <v>1.1000000000000001</v>
      </c>
      <c r="L14">
        <v>0.9</v>
      </c>
      <c r="M14">
        <v>-3.8</v>
      </c>
      <c r="S14" t="s">
        <v>266</v>
      </c>
      <c r="T14" t="s">
        <v>307</v>
      </c>
      <c r="U14" t="str">
        <f t="shared" si="0"/>
        <v>ohne Mittelpfosten</v>
      </c>
    </row>
    <row r="15" spans="1:21" x14ac:dyDescent="0.25">
      <c r="A15">
        <v>2.5</v>
      </c>
      <c r="B15">
        <v>2.5</v>
      </c>
      <c r="C15">
        <v>2.5</v>
      </c>
      <c r="D15">
        <v>11</v>
      </c>
      <c r="E15" t="str">
        <f t="shared" si="2"/>
        <v/>
      </c>
      <c r="G15" s="13">
        <v>1.2</v>
      </c>
      <c r="H15" s="60">
        <v>1.3</v>
      </c>
      <c r="I15" s="60">
        <v>1</v>
      </c>
      <c r="J15">
        <f t="shared" si="3"/>
        <v>1</v>
      </c>
      <c r="K15">
        <v>1.2</v>
      </c>
      <c r="L15">
        <v>1</v>
      </c>
      <c r="M15">
        <v>-3.7</v>
      </c>
      <c r="S15" t="s">
        <v>267</v>
      </c>
      <c r="T15" t="s">
        <v>308</v>
      </c>
      <c r="U15" t="str">
        <f t="shared" si="0"/>
        <v>mit Mittelpfosten</v>
      </c>
    </row>
    <row r="16" spans="1:21" x14ac:dyDescent="0.25">
      <c r="A16">
        <v>2.6</v>
      </c>
      <c r="B16">
        <v>2.6</v>
      </c>
      <c r="C16">
        <v>2.6</v>
      </c>
      <c r="D16">
        <v>12</v>
      </c>
      <c r="E16" t="str">
        <f t="shared" si="2"/>
        <v/>
      </c>
      <c r="G16" s="13">
        <v>1.3</v>
      </c>
      <c r="H16" s="60">
        <v>1.4</v>
      </c>
      <c r="I16" s="60">
        <v>1.1000000000000001</v>
      </c>
      <c r="J16">
        <f t="shared" si="3"/>
        <v>1.1000000000000001</v>
      </c>
      <c r="K16">
        <v>1.3</v>
      </c>
      <c r="L16">
        <v>1.1000000000000001</v>
      </c>
      <c r="M16">
        <v>-3.6</v>
      </c>
      <c r="S16" t="s">
        <v>19</v>
      </c>
      <c r="T16" t="s">
        <v>309</v>
      </c>
      <c r="U16" t="str">
        <f t="shared" si="0"/>
        <v>ohne Stahl</v>
      </c>
    </row>
    <row r="17" spans="1:21" x14ac:dyDescent="0.25">
      <c r="A17">
        <v>2.7</v>
      </c>
      <c r="B17">
        <v>2.7</v>
      </c>
      <c r="C17">
        <v>2.7</v>
      </c>
      <c r="D17">
        <v>13</v>
      </c>
      <c r="E17" t="str">
        <f t="shared" si="2"/>
        <v/>
      </c>
      <c r="G17" s="13">
        <v>1.4</v>
      </c>
      <c r="H17" s="60">
        <v>1.5</v>
      </c>
      <c r="I17" s="60">
        <v>1.2</v>
      </c>
      <c r="J17">
        <f t="shared" si="3"/>
        <v>1.2</v>
      </c>
      <c r="K17">
        <v>1.4</v>
      </c>
      <c r="L17">
        <v>1.2</v>
      </c>
      <c r="M17">
        <v>-3.5</v>
      </c>
      <c r="S17" t="s">
        <v>20</v>
      </c>
      <c r="T17" t="s">
        <v>310</v>
      </c>
      <c r="U17" t="str">
        <f t="shared" si="0"/>
        <v>mit Stahl</v>
      </c>
    </row>
    <row r="18" spans="1:21" x14ac:dyDescent="0.25">
      <c r="A18">
        <v>2.8</v>
      </c>
      <c r="B18">
        <v>2.8</v>
      </c>
      <c r="C18">
        <v>2.8</v>
      </c>
      <c r="D18">
        <v>14</v>
      </c>
      <c r="E18" t="str">
        <f t="shared" si="2"/>
        <v/>
      </c>
      <c r="G18" s="13">
        <v>1.5</v>
      </c>
      <c r="I18" s="60">
        <v>1.3</v>
      </c>
      <c r="J18">
        <f t="shared" si="3"/>
        <v>1.3</v>
      </c>
      <c r="K18">
        <v>1.5</v>
      </c>
      <c r="L18">
        <v>1.3</v>
      </c>
      <c r="M18">
        <v>-3.4</v>
      </c>
      <c r="S18" t="s">
        <v>323</v>
      </c>
      <c r="T18" t="s">
        <v>324</v>
      </c>
      <c r="U18" t="str">
        <f t="shared" si="0"/>
        <v>Grundmasse</v>
      </c>
    </row>
    <row r="19" spans="1:21" x14ac:dyDescent="0.25">
      <c r="A19">
        <v>2.9</v>
      </c>
      <c r="B19">
        <v>2.9</v>
      </c>
      <c r="C19">
        <v>2.9</v>
      </c>
      <c r="D19">
        <v>15</v>
      </c>
      <c r="E19" t="str">
        <f t="shared" si="2"/>
        <v/>
      </c>
      <c r="G19" s="13">
        <v>1.6</v>
      </c>
      <c r="I19" s="60">
        <v>1.4</v>
      </c>
      <c r="J19">
        <f t="shared" si="3"/>
        <v>1.4</v>
      </c>
      <c r="L19">
        <v>1.4</v>
      </c>
      <c r="M19">
        <v>-3.3</v>
      </c>
      <c r="S19" t="s">
        <v>292</v>
      </c>
      <c r="T19" t="s">
        <v>311</v>
      </c>
      <c r="U19" t="str">
        <f t="shared" si="0"/>
        <v>Front - Pfosten</v>
      </c>
    </row>
    <row r="20" spans="1:21" x14ac:dyDescent="0.25">
      <c r="A20">
        <v>3</v>
      </c>
      <c r="B20">
        <v>3</v>
      </c>
      <c r="C20">
        <v>3</v>
      </c>
      <c r="D20">
        <v>16</v>
      </c>
      <c r="E20" t="str">
        <f t="shared" si="2"/>
        <v/>
      </c>
      <c r="G20" s="13">
        <v>1.7</v>
      </c>
      <c r="I20" s="60">
        <v>1.5</v>
      </c>
      <c r="J20">
        <f t="shared" si="3"/>
        <v>1.5</v>
      </c>
      <c r="L20">
        <v>1.5</v>
      </c>
      <c r="M20">
        <v>-3.2</v>
      </c>
      <c r="S20" t="s">
        <v>270</v>
      </c>
      <c r="T20" t="s">
        <v>340</v>
      </c>
      <c r="U20" t="str">
        <f t="shared" si="0"/>
        <v>vorgesetzt</v>
      </c>
    </row>
    <row r="21" spans="1:21" x14ac:dyDescent="0.25">
      <c r="A21">
        <v>3.1</v>
      </c>
      <c r="B21">
        <v>3.1</v>
      </c>
      <c r="C21">
        <v>3.1</v>
      </c>
      <c r="D21">
        <v>17</v>
      </c>
      <c r="E21" t="str">
        <f t="shared" si="2"/>
        <v/>
      </c>
      <c r="G21" s="13">
        <v>1.8</v>
      </c>
      <c r="I21" s="60">
        <v>1.6</v>
      </c>
      <c r="J21">
        <f t="shared" si="3"/>
        <v>1.6</v>
      </c>
      <c r="M21">
        <v>-3.1</v>
      </c>
      <c r="S21" t="s">
        <v>293</v>
      </c>
      <c r="T21" t="s">
        <v>312</v>
      </c>
      <c r="U21" t="str">
        <f t="shared" si="0"/>
        <v>Wand - Pfosten</v>
      </c>
    </row>
    <row r="22" spans="1:21" x14ac:dyDescent="0.25">
      <c r="A22">
        <v>3.2</v>
      </c>
      <c r="B22">
        <v>3.2</v>
      </c>
      <c r="C22">
        <v>3.2</v>
      </c>
      <c r="D22">
        <v>18</v>
      </c>
      <c r="E22" t="str">
        <f t="shared" si="2"/>
        <v/>
      </c>
      <c r="G22" s="13">
        <v>1.9</v>
      </c>
      <c r="I22" s="60">
        <v>1.7</v>
      </c>
      <c r="J22">
        <f t="shared" si="3"/>
        <v>1.7</v>
      </c>
      <c r="M22">
        <v>-3</v>
      </c>
      <c r="S22" t="s">
        <v>294</v>
      </c>
      <c r="T22" t="s">
        <v>313</v>
      </c>
      <c r="U22" t="str">
        <f t="shared" si="0"/>
        <v>Dachfelder</v>
      </c>
    </row>
    <row r="23" spans="1:21" x14ac:dyDescent="0.25">
      <c r="A23">
        <v>3.3</v>
      </c>
      <c r="B23">
        <v>3.3</v>
      </c>
      <c r="C23">
        <v>3.3</v>
      </c>
      <c r="D23">
        <v>19</v>
      </c>
      <c r="E23" t="str">
        <f t="shared" si="2"/>
        <v/>
      </c>
      <c r="G23" s="13">
        <v>2</v>
      </c>
      <c r="I23" s="60">
        <v>1.8</v>
      </c>
      <c r="J23">
        <f t="shared" si="3"/>
        <v>1.8</v>
      </c>
      <c r="M23">
        <v>-2.9</v>
      </c>
      <c r="S23" t="s">
        <v>271</v>
      </c>
      <c r="T23" t="s">
        <v>314</v>
      </c>
      <c r="U23" t="str">
        <f t="shared" si="0"/>
        <v>Sparrenabstand</v>
      </c>
    </row>
    <row r="24" spans="1:21" x14ac:dyDescent="0.25">
      <c r="A24">
        <v>3.4</v>
      </c>
      <c r="B24">
        <v>3.4</v>
      </c>
      <c r="C24">
        <v>3.4</v>
      </c>
      <c r="D24">
        <v>20</v>
      </c>
      <c r="E24" t="str">
        <f t="shared" si="2"/>
        <v/>
      </c>
      <c r="G24" s="13">
        <v>2.1</v>
      </c>
      <c r="I24" s="60">
        <v>1.9</v>
      </c>
      <c r="J24">
        <f t="shared" si="3"/>
        <v>1.9</v>
      </c>
      <c r="M24">
        <v>-2.8</v>
      </c>
      <c r="S24" t="s">
        <v>295</v>
      </c>
      <c r="T24" t="s">
        <v>315</v>
      </c>
      <c r="U24" t="str">
        <f t="shared" si="0"/>
        <v>Last auf Bemessungsniveau</v>
      </c>
    </row>
    <row r="25" spans="1:21" x14ac:dyDescent="0.25">
      <c r="A25">
        <v>3.5</v>
      </c>
      <c r="B25">
        <v>3.5</v>
      </c>
      <c r="C25">
        <v>3.5</v>
      </c>
      <c r="D25">
        <v>21</v>
      </c>
      <c r="E25" t="str">
        <f t="shared" si="2"/>
        <v/>
      </c>
      <c r="G25" s="13">
        <v>2.2000000000000002</v>
      </c>
      <c r="I25" s="60">
        <v>2</v>
      </c>
      <c r="J25" t="str">
        <f t="shared" si="3"/>
        <v/>
      </c>
      <c r="M25">
        <v>-2.7</v>
      </c>
      <c r="S25" t="s">
        <v>12</v>
      </c>
      <c r="T25" t="s">
        <v>316</v>
      </c>
      <c r="U25" t="str">
        <f t="shared" si="0"/>
        <v>Eigenlast (Glas)</v>
      </c>
    </row>
    <row r="26" spans="1:21" x14ac:dyDescent="0.25">
      <c r="A26">
        <v>3.6</v>
      </c>
      <c r="B26">
        <v>3.6</v>
      </c>
      <c r="D26">
        <v>22</v>
      </c>
      <c r="E26" t="str">
        <f t="shared" si="2"/>
        <v/>
      </c>
      <c r="G26" s="13">
        <v>2.2999999999999998</v>
      </c>
      <c r="I26" s="60">
        <v>2.1</v>
      </c>
      <c r="J26" t="str">
        <f t="shared" si="3"/>
        <v/>
      </c>
      <c r="M26">
        <v>-2.6</v>
      </c>
      <c r="S26" t="s">
        <v>16</v>
      </c>
      <c r="T26" t="s">
        <v>317</v>
      </c>
      <c r="U26" t="str">
        <f t="shared" si="0"/>
        <v>Schnee</v>
      </c>
    </row>
    <row r="27" spans="1:21" x14ac:dyDescent="0.25">
      <c r="A27">
        <v>3.7</v>
      </c>
      <c r="B27">
        <v>3.7</v>
      </c>
      <c r="D27">
        <v>23</v>
      </c>
      <c r="E27" t="str">
        <f t="shared" si="2"/>
        <v/>
      </c>
      <c r="G27" s="13">
        <v>2.4</v>
      </c>
      <c r="I27" s="60">
        <v>2.2000000000000002</v>
      </c>
      <c r="J27" t="str">
        <f t="shared" si="3"/>
        <v/>
      </c>
      <c r="M27">
        <v>-2.5</v>
      </c>
      <c r="S27" t="s">
        <v>17</v>
      </c>
      <c r="T27" t="s">
        <v>318</v>
      </c>
      <c r="U27" t="str">
        <f t="shared" si="0"/>
        <v>Wind</v>
      </c>
    </row>
    <row r="28" spans="1:21" x14ac:dyDescent="0.25">
      <c r="A28">
        <v>3.8</v>
      </c>
      <c r="B28">
        <v>3.8</v>
      </c>
      <c r="D28">
        <v>24</v>
      </c>
      <c r="E28" t="str">
        <f t="shared" si="2"/>
        <v/>
      </c>
      <c r="G28" s="13">
        <v>2.5</v>
      </c>
      <c r="I28" s="60">
        <v>2.2999999999999998</v>
      </c>
      <c r="J28" t="str">
        <f t="shared" si="3"/>
        <v/>
      </c>
      <c r="M28">
        <v>-2.4</v>
      </c>
      <c r="S28" t="s">
        <v>296</v>
      </c>
      <c r="T28" t="s">
        <v>319</v>
      </c>
      <c r="U28" t="str">
        <f t="shared" si="0"/>
        <v>Unterbauelemente</v>
      </c>
    </row>
    <row r="29" spans="1:21" x14ac:dyDescent="0.25">
      <c r="A29">
        <v>3.9</v>
      </c>
      <c r="B29">
        <v>3.9</v>
      </c>
      <c r="D29">
        <v>25</v>
      </c>
      <c r="E29" t="str">
        <f t="shared" si="2"/>
        <v/>
      </c>
      <c r="G29" s="13">
        <v>2.6</v>
      </c>
      <c r="I29" s="60">
        <v>2.4</v>
      </c>
      <c r="J29" t="str">
        <f t="shared" si="3"/>
        <v/>
      </c>
      <c r="M29">
        <v>-2.2999999999999998</v>
      </c>
      <c r="S29" t="s">
        <v>327</v>
      </c>
      <c r="T29" t="s">
        <v>328</v>
      </c>
      <c r="U29" t="str">
        <f t="shared" si="0"/>
        <v>Prüfung EN18008</v>
      </c>
    </row>
    <row r="30" spans="1:21" x14ac:dyDescent="0.25">
      <c r="A30">
        <v>4</v>
      </c>
      <c r="B30">
        <v>4</v>
      </c>
      <c r="D30">
        <v>26</v>
      </c>
      <c r="E30" t="str">
        <f t="shared" si="2"/>
        <v/>
      </c>
      <c r="G30" s="13">
        <v>2.7</v>
      </c>
      <c r="I30" s="60">
        <v>2.5</v>
      </c>
      <c r="J30" t="str">
        <f t="shared" si="3"/>
        <v/>
      </c>
      <c r="M30">
        <v>-2.2000000000000002</v>
      </c>
      <c r="S30" t="s">
        <v>297</v>
      </c>
      <c r="T30" t="s">
        <v>319</v>
      </c>
      <c r="U30" t="str">
        <f t="shared" si="0"/>
        <v>Elemente</v>
      </c>
    </row>
    <row r="31" spans="1:21" x14ac:dyDescent="0.25">
      <c r="A31">
        <v>4.0999999999999996</v>
      </c>
      <c r="B31">
        <v>4.0999999999999996</v>
      </c>
      <c r="D31">
        <v>27</v>
      </c>
      <c r="E31" t="str">
        <f t="shared" si="2"/>
        <v/>
      </c>
      <c r="G31" s="13">
        <v>2.8</v>
      </c>
      <c r="I31" s="60">
        <v>2.6</v>
      </c>
      <c r="J31" t="str">
        <f t="shared" si="3"/>
        <v/>
      </c>
      <c r="M31">
        <v>-2.1</v>
      </c>
      <c r="S31" t="s">
        <v>273</v>
      </c>
      <c r="T31" t="s">
        <v>320</v>
      </c>
      <c r="U31" t="str">
        <f t="shared" si="0"/>
        <v>ja / nein</v>
      </c>
    </row>
    <row r="32" spans="1:21" x14ac:dyDescent="0.25">
      <c r="A32">
        <v>4.2</v>
      </c>
      <c r="B32">
        <v>4.2</v>
      </c>
      <c r="D32">
        <v>28</v>
      </c>
      <c r="E32" t="str">
        <f t="shared" si="2"/>
        <v/>
      </c>
      <c r="G32" s="13">
        <v>2.9</v>
      </c>
      <c r="I32" s="60">
        <v>2.7</v>
      </c>
      <c r="J32" t="str">
        <f t="shared" si="3"/>
        <v/>
      </c>
      <c r="M32">
        <v>-2</v>
      </c>
      <c r="S32" t="s">
        <v>272</v>
      </c>
      <c r="T32" t="s">
        <v>321</v>
      </c>
      <c r="U32" t="str">
        <f t="shared" si="0"/>
        <v>obenlaufend</v>
      </c>
    </row>
    <row r="33" spans="1:21" x14ac:dyDescent="0.25">
      <c r="A33">
        <v>4.3</v>
      </c>
      <c r="B33">
        <v>4.3</v>
      </c>
      <c r="D33">
        <v>29</v>
      </c>
      <c r="E33" t="str">
        <f t="shared" si="2"/>
        <v/>
      </c>
      <c r="G33" s="13">
        <v>3</v>
      </c>
      <c r="I33" s="60">
        <v>2.8</v>
      </c>
      <c r="J33" t="str">
        <f t="shared" si="3"/>
        <v/>
      </c>
      <c r="M33">
        <v>-1.9</v>
      </c>
      <c r="S33" t="s">
        <v>298</v>
      </c>
      <c r="T33" t="s">
        <v>298</v>
      </c>
      <c r="U33" t="str">
        <f t="shared" si="0"/>
        <v>LED</v>
      </c>
    </row>
    <row r="34" spans="1:21" x14ac:dyDescent="0.25">
      <c r="A34">
        <v>4.4000000000000004</v>
      </c>
      <c r="B34">
        <v>4.4000000000000004</v>
      </c>
      <c r="D34">
        <v>30</v>
      </c>
      <c r="E34" t="str">
        <f t="shared" si="2"/>
        <v/>
      </c>
      <c r="G34" s="13">
        <v>3.1</v>
      </c>
      <c r="I34" s="60">
        <v>2.9</v>
      </c>
      <c r="J34" t="str">
        <f t="shared" si="3"/>
        <v/>
      </c>
      <c r="M34">
        <v>-1.8</v>
      </c>
      <c r="S34" t="s">
        <v>23</v>
      </c>
      <c r="T34" t="s">
        <v>325</v>
      </c>
      <c r="U34" t="str">
        <f t="shared" si="0"/>
        <v>ja</v>
      </c>
    </row>
    <row r="35" spans="1:21" x14ac:dyDescent="0.25">
      <c r="A35">
        <v>4.5</v>
      </c>
      <c r="B35">
        <v>4.5</v>
      </c>
      <c r="D35">
        <v>31</v>
      </c>
      <c r="E35" t="str">
        <f t="shared" si="2"/>
        <v/>
      </c>
      <c r="G35" s="13">
        <v>3.2</v>
      </c>
      <c r="I35" s="60">
        <v>3</v>
      </c>
      <c r="J35" t="str">
        <f t="shared" si="3"/>
        <v/>
      </c>
      <c r="M35">
        <v>-1.7</v>
      </c>
      <c r="S35" t="s">
        <v>25</v>
      </c>
      <c r="T35" t="s">
        <v>326</v>
      </c>
      <c r="U35" t="str">
        <f t="shared" si="0"/>
        <v>nein</v>
      </c>
    </row>
    <row r="36" spans="1:21" x14ac:dyDescent="0.25">
      <c r="A36">
        <v>4.5999999999999996</v>
      </c>
      <c r="B36">
        <v>4.5999999999999996</v>
      </c>
      <c r="D36">
        <v>32</v>
      </c>
      <c r="E36" t="str">
        <f t="shared" si="2"/>
        <v/>
      </c>
      <c r="G36" s="13">
        <v>3.3</v>
      </c>
      <c r="I36" s="60">
        <v>3.1</v>
      </c>
      <c r="J36" t="str">
        <f t="shared" si="3"/>
        <v/>
      </c>
      <c r="M36">
        <v>-1.6</v>
      </c>
      <c r="S36" t="s">
        <v>329</v>
      </c>
      <c r="T36" t="s">
        <v>330</v>
      </c>
      <c r="U36" t="str">
        <f t="shared" si="0"/>
        <v>Pfosten</v>
      </c>
    </row>
    <row r="37" spans="1:21" x14ac:dyDescent="0.25">
      <c r="A37">
        <v>4.7</v>
      </c>
      <c r="B37">
        <v>4.7</v>
      </c>
      <c r="D37">
        <v>33</v>
      </c>
      <c r="E37" t="str">
        <f t="shared" si="2"/>
        <v/>
      </c>
      <c r="G37" s="13">
        <v>3.4</v>
      </c>
      <c r="I37" s="60">
        <v>3.2</v>
      </c>
      <c r="J37" t="str">
        <f t="shared" ref="J37:J55" si="4">IF(I37&lt;MAEX,I37,"")</f>
        <v/>
      </c>
      <c r="M37">
        <v>-1.5</v>
      </c>
      <c r="S37" t="s">
        <v>65</v>
      </c>
      <c r="T37" t="s">
        <v>326</v>
      </c>
      <c r="U37" t="str">
        <f t="shared" si="0"/>
        <v>keiner</v>
      </c>
    </row>
    <row r="38" spans="1:21" x14ac:dyDescent="0.25">
      <c r="A38">
        <v>4.8</v>
      </c>
      <c r="B38">
        <v>4.8</v>
      </c>
      <c r="D38">
        <v>34</v>
      </c>
      <c r="E38" t="str">
        <f t="shared" si="2"/>
        <v/>
      </c>
      <c r="G38" s="13">
        <v>3.5</v>
      </c>
      <c r="I38" s="60">
        <v>3.3</v>
      </c>
      <c r="J38" t="str">
        <f t="shared" si="4"/>
        <v/>
      </c>
      <c r="M38">
        <v>-1.4</v>
      </c>
      <c r="S38" t="str">
        <f>IF(L&gt;6.8,"","mitte")</f>
        <v>mitte</v>
      </c>
      <c r="T38" t="s">
        <v>331</v>
      </c>
      <c r="U38" t="str">
        <f t="shared" si="0"/>
        <v>mitte</v>
      </c>
    </row>
    <row r="39" spans="1:21" x14ac:dyDescent="0.25">
      <c r="A39">
        <v>4.9000000000000004</v>
      </c>
      <c r="B39">
        <v>4.9000000000000004</v>
      </c>
      <c r="D39">
        <v>35</v>
      </c>
      <c r="E39" t="str">
        <f t="shared" si="2"/>
        <v/>
      </c>
      <c r="G39" s="13">
        <v>3.6</v>
      </c>
      <c r="I39" s="60">
        <v>3.4</v>
      </c>
      <c r="J39" t="str">
        <f t="shared" si="4"/>
        <v/>
      </c>
      <c r="M39">
        <v>-1.3</v>
      </c>
      <c r="S39" t="str">
        <f>IF(L&gt;6.8,"","alle")</f>
        <v>alle</v>
      </c>
      <c r="T39" t="s">
        <v>332</v>
      </c>
      <c r="U39" t="str">
        <f t="shared" si="0"/>
        <v>alle</v>
      </c>
    </row>
    <row r="40" spans="1:21" x14ac:dyDescent="0.25">
      <c r="A40">
        <v>5</v>
      </c>
      <c r="B40">
        <v>5</v>
      </c>
      <c r="D40">
        <v>36</v>
      </c>
      <c r="E40" t="str">
        <f t="shared" si="2"/>
        <v/>
      </c>
      <c r="G40" s="13">
        <v>3.7</v>
      </c>
      <c r="I40" s="60">
        <v>3.5</v>
      </c>
      <c r="J40" t="str">
        <f t="shared" si="4"/>
        <v/>
      </c>
      <c r="M40">
        <v>-1.2</v>
      </c>
      <c r="S40" t="s">
        <v>334</v>
      </c>
      <c r="T40" t="s">
        <v>335</v>
      </c>
      <c r="U40" t="str">
        <f t="shared" si="0"/>
        <v>Projekt</v>
      </c>
    </row>
    <row r="41" spans="1:21" x14ac:dyDescent="0.25">
      <c r="A41">
        <v>5.0999999999999996</v>
      </c>
      <c r="B41">
        <v>5.0999999999999996</v>
      </c>
      <c r="D41">
        <v>37</v>
      </c>
      <c r="E41" t="str">
        <f t="shared" si="2"/>
        <v/>
      </c>
      <c r="G41" s="13">
        <v>3.8</v>
      </c>
      <c r="I41" s="60">
        <v>3.6</v>
      </c>
      <c r="J41" t="str">
        <f t="shared" si="4"/>
        <v/>
      </c>
      <c r="M41">
        <v>-1.1000000000000001</v>
      </c>
      <c r="S41" t="s">
        <v>336</v>
      </c>
      <c r="T41" t="s">
        <v>337</v>
      </c>
      <c r="U41" t="str">
        <f t="shared" si="0"/>
        <v>Sprache</v>
      </c>
    </row>
    <row r="42" spans="1:21" x14ac:dyDescent="0.25">
      <c r="A42">
        <v>5.2</v>
      </c>
      <c r="B42">
        <v>5.2</v>
      </c>
      <c r="D42">
        <v>38</v>
      </c>
      <c r="E42" t="str">
        <f t="shared" si="2"/>
        <v/>
      </c>
      <c r="G42" s="13">
        <v>3.9</v>
      </c>
      <c r="I42" s="60">
        <v>3.7</v>
      </c>
      <c r="J42" t="str">
        <f t="shared" si="4"/>
        <v/>
      </c>
      <c r="M42">
        <v>-1</v>
      </c>
      <c r="S42" t="s">
        <v>338</v>
      </c>
      <c r="T42" t="s">
        <v>339</v>
      </c>
      <c r="U42" t="str">
        <f t="shared" si="0"/>
        <v>Verkäufer</v>
      </c>
    </row>
    <row r="43" spans="1:21" x14ac:dyDescent="0.25">
      <c r="A43">
        <v>5.3</v>
      </c>
      <c r="B43">
        <v>5.3</v>
      </c>
      <c r="D43">
        <v>39</v>
      </c>
      <c r="E43" t="str">
        <f t="shared" si="2"/>
        <v/>
      </c>
      <c r="G43" s="13">
        <v>4</v>
      </c>
      <c r="I43" s="60">
        <v>3.8</v>
      </c>
      <c r="J43" t="str">
        <f t="shared" si="4"/>
        <v/>
      </c>
      <c r="M43">
        <v>-0.89999999999999902</v>
      </c>
      <c r="S43" t="s">
        <v>342</v>
      </c>
      <c r="T43" t="s">
        <v>341</v>
      </c>
      <c r="U43" t="str">
        <f t="shared" si="0"/>
        <v>Prüfe Eingabe</v>
      </c>
    </row>
    <row r="44" spans="1:21" x14ac:dyDescent="0.25">
      <c r="A44">
        <v>5.4</v>
      </c>
      <c r="B44">
        <v>5.4</v>
      </c>
      <c r="G44" s="13">
        <v>4.0999999999999996</v>
      </c>
      <c r="I44" s="60">
        <v>3.9</v>
      </c>
      <c r="J44" t="str">
        <f t="shared" si="4"/>
        <v/>
      </c>
      <c r="M44">
        <v>-0.79999999999999905</v>
      </c>
    </row>
    <row r="45" spans="1:21" x14ac:dyDescent="0.25">
      <c r="A45">
        <v>5.5</v>
      </c>
      <c r="B45">
        <v>5.5</v>
      </c>
      <c r="G45" s="13">
        <v>4.2</v>
      </c>
      <c r="I45" s="60">
        <v>4</v>
      </c>
      <c r="J45" t="str">
        <f t="shared" si="4"/>
        <v/>
      </c>
      <c r="M45">
        <v>-0.69999999999999896</v>
      </c>
    </row>
    <row r="46" spans="1:21" x14ac:dyDescent="0.25">
      <c r="A46">
        <v>5.6</v>
      </c>
      <c r="B46">
        <v>5.6</v>
      </c>
      <c r="G46" s="13">
        <v>4.3</v>
      </c>
      <c r="I46" s="60">
        <v>4.0999999999999996</v>
      </c>
      <c r="J46" t="str">
        <f t="shared" si="4"/>
        <v/>
      </c>
      <c r="M46">
        <v>-0.59999999999999898</v>
      </c>
    </row>
    <row r="47" spans="1:21" x14ac:dyDescent="0.25">
      <c r="A47">
        <v>5.7</v>
      </c>
      <c r="B47">
        <v>5.7</v>
      </c>
      <c r="G47" s="13">
        <v>4.4000000000000004</v>
      </c>
      <c r="I47" s="60">
        <v>4.2</v>
      </c>
      <c r="J47" t="str">
        <f t="shared" si="4"/>
        <v/>
      </c>
      <c r="M47">
        <v>-0.5</v>
      </c>
    </row>
    <row r="48" spans="1:21" x14ac:dyDescent="0.25">
      <c r="A48">
        <v>5.8</v>
      </c>
      <c r="B48">
        <v>5.8</v>
      </c>
      <c r="G48" s="13">
        <v>4.5</v>
      </c>
      <c r="I48" s="60">
        <v>4.3</v>
      </c>
      <c r="J48" t="str">
        <f t="shared" si="4"/>
        <v/>
      </c>
      <c r="M48">
        <v>-0.4</v>
      </c>
    </row>
    <row r="49" spans="1:13" x14ac:dyDescent="0.25">
      <c r="A49">
        <v>5.9</v>
      </c>
      <c r="B49">
        <v>5.9</v>
      </c>
      <c r="G49" s="13">
        <v>4.5999999999999996</v>
      </c>
      <c r="I49" s="60">
        <v>4.4000000000000004</v>
      </c>
      <c r="J49" t="str">
        <f t="shared" si="4"/>
        <v/>
      </c>
      <c r="M49">
        <v>-0.3</v>
      </c>
    </row>
    <row r="50" spans="1:13" x14ac:dyDescent="0.25">
      <c r="A50">
        <v>6</v>
      </c>
      <c r="B50">
        <v>6</v>
      </c>
      <c r="G50" s="13">
        <v>4.7</v>
      </c>
      <c r="I50" s="60">
        <v>4.5</v>
      </c>
      <c r="J50" t="str">
        <f t="shared" si="4"/>
        <v/>
      </c>
      <c r="M50">
        <v>-0.2</v>
      </c>
    </row>
    <row r="51" spans="1:13" x14ac:dyDescent="0.25">
      <c r="A51">
        <v>6.1</v>
      </c>
      <c r="G51" s="13">
        <v>4.8</v>
      </c>
      <c r="I51" s="60">
        <v>4.5999999999999996</v>
      </c>
      <c r="J51" t="str">
        <f t="shared" si="4"/>
        <v/>
      </c>
      <c r="M51">
        <v>-0.1</v>
      </c>
    </row>
    <row r="52" spans="1:13" x14ac:dyDescent="0.25">
      <c r="A52">
        <v>6.2</v>
      </c>
      <c r="G52" s="13">
        <v>4.9000000000000004</v>
      </c>
      <c r="I52" s="60">
        <v>4.7</v>
      </c>
      <c r="J52" t="str">
        <f t="shared" si="4"/>
        <v/>
      </c>
      <c r="M52">
        <v>0</v>
      </c>
    </row>
    <row r="53" spans="1:13" x14ac:dyDescent="0.25">
      <c r="A53">
        <v>6.3</v>
      </c>
      <c r="G53" s="13">
        <v>5</v>
      </c>
      <c r="I53" s="60">
        <v>4.8</v>
      </c>
      <c r="J53" t="str">
        <f t="shared" si="4"/>
        <v/>
      </c>
      <c r="M53">
        <v>0.1</v>
      </c>
    </row>
    <row r="54" spans="1:13" x14ac:dyDescent="0.25">
      <c r="A54">
        <v>6.4</v>
      </c>
      <c r="G54" s="13">
        <v>5.0999999999999996</v>
      </c>
      <c r="I54" s="60">
        <v>4.9000000000000004</v>
      </c>
      <c r="J54" t="str">
        <f t="shared" si="4"/>
        <v/>
      </c>
      <c r="M54">
        <v>0.2</v>
      </c>
    </row>
    <row r="55" spans="1:13" x14ac:dyDescent="0.25">
      <c r="A55">
        <v>6.5</v>
      </c>
      <c r="G55" s="13">
        <v>5.2</v>
      </c>
      <c r="I55" s="60">
        <v>5</v>
      </c>
      <c r="J55" t="str">
        <f t="shared" si="4"/>
        <v/>
      </c>
      <c r="M55">
        <v>0.3</v>
      </c>
    </row>
    <row r="56" spans="1:13" x14ac:dyDescent="0.25">
      <c r="A56">
        <v>6.6</v>
      </c>
      <c r="G56" s="13">
        <v>5.3</v>
      </c>
      <c r="M56">
        <v>0.4</v>
      </c>
    </row>
    <row r="57" spans="1:13" x14ac:dyDescent="0.25">
      <c r="A57">
        <v>6.7</v>
      </c>
      <c r="G57" s="13">
        <v>5.4</v>
      </c>
      <c r="M57">
        <v>0.5</v>
      </c>
    </row>
    <row r="58" spans="1:13" x14ac:dyDescent="0.25">
      <c r="A58">
        <v>6.8</v>
      </c>
      <c r="G58" s="13">
        <v>5.5</v>
      </c>
      <c r="M58">
        <v>0.6</v>
      </c>
    </row>
    <row r="59" spans="1:13" x14ac:dyDescent="0.25">
      <c r="A59">
        <v>6.9</v>
      </c>
      <c r="G59" s="13">
        <v>5.6</v>
      </c>
      <c r="M59">
        <v>0.7</v>
      </c>
    </row>
    <row r="60" spans="1:13" x14ac:dyDescent="0.25">
      <c r="A60">
        <v>7.0000000000000098</v>
      </c>
      <c r="G60" s="13">
        <v>5.7</v>
      </c>
      <c r="M60">
        <v>0.8</v>
      </c>
    </row>
    <row r="61" spans="1:13" x14ac:dyDescent="0.25">
      <c r="A61">
        <v>7.1</v>
      </c>
      <c r="G61" s="13">
        <v>5.8</v>
      </c>
      <c r="M61">
        <v>0.9</v>
      </c>
    </row>
    <row r="62" spans="1:13" x14ac:dyDescent="0.25">
      <c r="A62">
        <v>7.2</v>
      </c>
      <c r="G62" s="13">
        <v>5.9</v>
      </c>
      <c r="M62">
        <v>1</v>
      </c>
    </row>
    <row r="63" spans="1:13" x14ac:dyDescent="0.25">
      <c r="A63">
        <v>7.3000000000000096</v>
      </c>
      <c r="G63" s="13">
        <v>6</v>
      </c>
      <c r="M63">
        <v>1.1000000000000001</v>
      </c>
    </row>
    <row r="64" spans="1:13" x14ac:dyDescent="0.25">
      <c r="A64">
        <v>7.4000000000000101</v>
      </c>
      <c r="G64" s="13"/>
      <c r="M64">
        <v>1.2</v>
      </c>
    </row>
    <row r="65" spans="1:13" x14ac:dyDescent="0.25">
      <c r="A65">
        <v>7.5000000000000098</v>
      </c>
      <c r="M65">
        <v>1.3</v>
      </c>
    </row>
    <row r="66" spans="1:13" x14ac:dyDescent="0.25">
      <c r="A66">
        <v>7.6</v>
      </c>
      <c r="M66">
        <v>1.4</v>
      </c>
    </row>
    <row r="67" spans="1:13" x14ac:dyDescent="0.25">
      <c r="A67">
        <v>7.7000000000000099</v>
      </c>
      <c r="M67">
        <v>1.5</v>
      </c>
    </row>
    <row r="68" spans="1:13" x14ac:dyDescent="0.25">
      <c r="A68">
        <v>7.8000000000000096</v>
      </c>
      <c r="M68">
        <v>1.6</v>
      </c>
    </row>
    <row r="69" spans="1:13" x14ac:dyDescent="0.25">
      <c r="A69">
        <v>7.9000000000000101</v>
      </c>
      <c r="M69">
        <v>1.7</v>
      </c>
    </row>
    <row r="70" spans="1:13" x14ac:dyDescent="0.25">
      <c r="A70">
        <v>8.0000000000000107</v>
      </c>
      <c r="M70">
        <v>1.8</v>
      </c>
    </row>
    <row r="71" spans="1:13" x14ac:dyDescent="0.25">
      <c r="A71">
        <v>8.1000000000000103</v>
      </c>
      <c r="M71">
        <v>1.9</v>
      </c>
    </row>
    <row r="72" spans="1:13" x14ac:dyDescent="0.25">
      <c r="A72">
        <v>8.2000000000000099</v>
      </c>
      <c r="M72">
        <v>2</v>
      </c>
    </row>
    <row r="73" spans="1:13" x14ac:dyDescent="0.25">
      <c r="A73">
        <v>8.3000000000000096</v>
      </c>
      <c r="M73">
        <v>2.1</v>
      </c>
    </row>
    <row r="74" spans="1:13" x14ac:dyDescent="0.25">
      <c r="A74">
        <v>8.4000000000000092</v>
      </c>
      <c r="M74">
        <v>2.2000000000000002</v>
      </c>
    </row>
    <row r="75" spans="1:13" x14ac:dyDescent="0.25">
      <c r="A75">
        <v>8.5000000000000107</v>
      </c>
      <c r="M75">
        <v>2.2999999999999998</v>
      </c>
    </row>
    <row r="76" spans="1:13" x14ac:dyDescent="0.25">
      <c r="A76">
        <v>8.6000000000000103</v>
      </c>
      <c r="M76">
        <v>2.4</v>
      </c>
    </row>
    <row r="77" spans="1:13" x14ac:dyDescent="0.25">
      <c r="A77">
        <v>8.7000000000000099</v>
      </c>
      <c r="M77">
        <v>2.5</v>
      </c>
    </row>
    <row r="78" spans="1:13" x14ac:dyDescent="0.25">
      <c r="A78">
        <v>8.8000000000000096</v>
      </c>
      <c r="M78">
        <v>2.6</v>
      </c>
    </row>
    <row r="79" spans="1:13" x14ac:dyDescent="0.25">
      <c r="A79">
        <v>8.9000000000000092</v>
      </c>
      <c r="M79">
        <v>2.7</v>
      </c>
    </row>
    <row r="80" spans="1:13" x14ac:dyDescent="0.25">
      <c r="A80">
        <v>9.0000000000000107</v>
      </c>
      <c r="M80">
        <v>2.8</v>
      </c>
    </row>
    <row r="81" spans="1:13" x14ac:dyDescent="0.25">
      <c r="A81">
        <v>9.1000000000000103</v>
      </c>
      <c r="M81">
        <v>2.9</v>
      </c>
    </row>
    <row r="82" spans="1:13" x14ac:dyDescent="0.25">
      <c r="A82">
        <v>9.2000000000000099</v>
      </c>
      <c r="M82">
        <v>3</v>
      </c>
    </row>
    <row r="83" spans="1:13" x14ac:dyDescent="0.25">
      <c r="A83">
        <v>9.3000000000000096</v>
      </c>
      <c r="M83">
        <v>3.1</v>
      </c>
    </row>
    <row r="84" spans="1:13" x14ac:dyDescent="0.25">
      <c r="A84">
        <v>9.4000000000000092</v>
      </c>
      <c r="M84">
        <v>3.2</v>
      </c>
    </row>
    <row r="85" spans="1:13" x14ac:dyDescent="0.25">
      <c r="A85">
        <v>9.5000000000000107</v>
      </c>
      <c r="M85">
        <v>3.3</v>
      </c>
    </row>
    <row r="86" spans="1:13" x14ac:dyDescent="0.25">
      <c r="A86">
        <v>9.6000000000000103</v>
      </c>
      <c r="M86">
        <v>3.4</v>
      </c>
    </row>
    <row r="87" spans="1:13" x14ac:dyDescent="0.25">
      <c r="A87">
        <v>9.7000000000000099</v>
      </c>
      <c r="M87">
        <v>3.5</v>
      </c>
    </row>
    <row r="88" spans="1:13" x14ac:dyDescent="0.25">
      <c r="A88">
        <v>9.8000000000000096</v>
      </c>
      <c r="M88">
        <v>3.6</v>
      </c>
    </row>
    <row r="89" spans="1:13" x14ac:dyDescent="0.25">
      <c r="A89">
        <v>9.9000000000000092</v>
      </c>
      <c r="M89">
        <v>3.69999999999999</v>
      </c>
    </row>
    <row r="90" spans="1:13" x14ac:dyDescent="0.25">
      <c r="A90">
        <v>10</v>
      </c>
      <c r="M90">
        <v>3.7999999999999901</v>
      </c>
    </row>
    <row r="91" spans="1:13" x14ac:dyDescent="0.25">
      <c r="A91">
        <v>10.1</v>
      </c>
      <c r="M91">
        <v>3.8999999999999901</v>
      </c>
    </row>
    <row r="92" spans="1:13" x14ac:dyDescent="0.25">
      <c r="A92">
        <v>10.199999999999999</v>
      </c>
      <c r="M92">
        <v>3.9999999999999898</v>
      </c>
    </row>
    <row r="93" spans="1:13" x14ac:dyDescent="0.25">
      <c r="A93">
        <v>10.3</v>
      </c>
      <c r="M93">
        <v>4.0999999999999899</v>
      </c>
    </row>
    <row r="94" spans="1:13" x14ac:dyDescent="0.25">
      <c r="A94">
        <v>10.4</v>
      </c>
      <c r="M94">
        <v>4.1999999999999904</v>
      </c>
    </row>
    <row r="95" spans="1:13" x14ac:dyDescent="0.25">
      <c r="A95">
        <v>10.5</v>
      </c>
      <c r="M95">
        <v>4.2999999999999901</v>
      </c>
    </row>
    <row r="96" spans="1:13" x14ac:dyDescent="0.25">
      <c r="A96">
        <v>10.6</v>
      </c>
      <c r="M96">
        <v>4.3999999999999897</v>
      </c>
    </row>
    <row r="97" spans="1:13" x14ac:dyDescent="0.25">
      <c r="A97">
        <v>10.7</v>
      </c>
      <c r="M97">
        <v>4.4999999999999902</v>
      </c>
    </row>
    <row r="98" spans="1:13" x14ac:dyDescent="0.25">
      <c r="A98">
        <v>10.8</v>
      </c>
      <c r="M98">
        <v>4.5999999999999899</v>
      </c>
    </row>
    <row r="99" spans="1:13" x14ac:dyDescent="0.25">
      <c r="A99">
        <v>10.9</v>
      </c>
      <c r="M99">
        <v>4.6999999999999904</v>
      </c>
    </row>
    <row r="100" spans="1:13" x14ac:dyDescent="0.25">
      <c r="A100">
        <v>11</v>
      </c>
    </row>
    <row r="101" spans="1:13" x14ac:dyDescent="0.25">
      <c r="A101">
        <v>11.1</v>
      </c>
    </row>
    <row r="102" spans="1:13" x14ac:dyDescent="0.25">
      <c r="A102">
        <v>11.2</v>
      </c>
    </row>
    <row r="103" spans="1:13" x14ac:dyDescent="0.25">
      <c r="A103">
        <v>11.3</v>
      </c>
    </row>
    <row r="104" spans="1:13" x14ac:dyDescent="0.25">
      <c r="A104">
        <v>11.4</v>
      </c>
    </row>
    <row r="105" spans="1:13" x14ac:dyDescent="0.25">
      <c r="A105">
        <v>11.5</v>
      </c>
    </row>
    <row r="106" spans="1:13" x14ac:dyDescent="0.25">
      <c r="A106">
        <v>11.6</v>
      </c>
    </row>
    <row r="107" spans="1:13" x14ac:dyDescent="0.25">
      <c r="A107">
        <v>11.7</v>
      </c>
    </row>
    <row r="108" spans="1:13" x14ac:dyDescent="0.25">
      <c r="A108">
        <v>11.8</v>
      </c>
    </row>
    <row r="109" spans="1:13" x14ac:dyDescent="0.25">
      <c r="A109">
        <v>11.9</v>
      </c>
    </row>
    <row r="110" spans="1:13" x14ac:dyDescent="0.25">
      <c r="A110">
        <v>12</v>
      </c>
    </row>
  </sheetData>
  <sheetProtection algorithmName="SHA-512" hashValue="fSlkHTg5cskYsICl3RB0AoaB+1COuELGcjD9wpRmJqFN0jqSrKAeWAK1/d5tPMslqdWtZSJLqlzWY2Nm+ERf/w==" saltValue="TyC5m5ziiqo/BOrsAx7PPg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BF11-135A-4F3C-A756-20A3E16F6FCD}">
  <sheetPr codeName="Tabelle4"/>
  <dimension ref="A1:I40"/>
  <sheetViews>
    <sheetView workbookViewId="0">
      <selection activeCell="N26" sqref="N26"/>
    </sheetView>
  </sheetViews>
  <sheetFormatPr baseColWidth="10" defaultColWidth="11.42578125" defaultRowHeight="15" x14ac:dyDescent="0.25"/>
  <cols>
    <col min="1" max="1" width="17" customWidth="1"/>
    <col min="2" max="2" width="13.85546875" customWidth="1"/>
    <col min="3" max="3" width="12.42578125" customWidth="1"/>
  </cols>
  <sheetData>
    <row r="1" spans="1:9" x14ac:dyDescent="0.25">
      <c r="A1" t="s">
        <v>31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</row>
    <row r="2" spans="1:9" x14ac:dyDescent="0.25">
      <c r="C2" t="s">
        <v>71</v>
      </c>
      <c r="D2" t="s">
        <v>72</v>
      </c>
      <c r="E2" t="s">
        <v>73</v>
      </c>
      <c r="F2" t="s">
        <v>74</v>
      </c>
      <c r="G2" t="s">
        <v>75</v>
      </c>
    </row>
    <row r="3" spans="1:9" x14ac:dyDescent="0.25">
      <c r="A3" t="s">
        <v>76</v>
      </c>
      <c r="B3">
        <v>70000</v>
      </c>
      <c r="C3">
        <v>55</v>
      </c>
      <c r="D3">
        <v>1945</v>
      </c>
      <c r="E3">
        <v>3300000</v>
      </c>
      <c r="F3">
        <v>44050</v>
      </c>
      <c r="G3">
        <f>FT1W*PRSIG/1000/1000</f>
        <v>9.6910000000000007</v>
      </c>
    </row>
    <row r="4" spans="1:9" x14ac:dyDescent="0.25">
      <c r="A4" t="s">
        <v>77</v>
      </c>
      <c r="B4">
        <v>70000</v>
      </c>
      <c r="C4">
        <v>76</v>
      </c>
      <c r="D4">
        <v>2187</v>
      </c>
      <c r="E4">
        <v>7070000</v>
      </c>
      <c r="F4">
        <v>75281</v>
      </c>
      <c r="G4">
        <f>FT2W*PRSIG/1000/1000</f>
        <v>16.561820000000001</v>
      </c>
    </row>
    <row r="5" spans="1:9" x14ac:dyDescent="0.25">
      <c r="A5" t="s">
        <v>78</v>
      </c>
      <c r="B5">
        <v>70000</v>
      </c>
      <c r="C5">
        <v>95</v>
      </c>
      <c r="D5">
        <v>2458</v>
      </c>
      <c r="E5">
        <v>11840710</v>
      </c>
      <c r="F5">
        <v>107476</v>
      </c>
      <c r="G5">
        <f>FT3W*PRSIG/1000/1000</f>
        <v>23.64472</v>
      </c>
    </row>
    <row r="6" spans="1:9" x14ac:dyDescent="0.25">
      <c r="A6" t="s">
        <v>79</v>
      </c>
      <c r="B6">
        <v>70000</v>
      </c>
      <c r="C6">
        <v>121</v>
      </c>
      <c r="D6">
        <v>3703</v>
      </c>
      <c r="E6">
        <v>22280000</v>
      </c>
      <c r="F6">
        <v>183339</v>
      </c>
      <c r="G6">
        <f>FT4W*PRSIG/1000/1000</f>
        <v>40.334580000000003</v>
      </c>
    </row>
    <row r="7" spans="1:9" x14ac:dyDescent="0.25">
      <c r="A7" t="s">
        <v>80</v>
      </c>
      <c r="B7">
        <v>70000</v>
      </c>
      <c r="C7">
        <v>71</v>
      </c>
      <c r="D7">
        <v>2471</v>
      </c>
      <c r="E7">
        <v>12395050</v>
      </c>
      <c r="F7">
        <v>119681</v>
      </c>
      <c r="G7">
        <f>WT1W*PRSIG/1000/1000</f>
        <v>26.329819999999998</v>
      </c>
    </row>
    <row r="10" spans="1:9" x14ac:dyDescent="0.25">
      <c r="A10" t="s">
        <v>81</v>
      </c>
      <c r="C10" t="s">
        <v>66</v>
      </c>
      <c r="D10" t="s">
        <v>67</v>
      </c>
      <c r="E10" t="s">
        <v>68</v>
      </c>
      <c r="F10" t="s">
        <v>69</v>
      </c>
      <c r="G10" t="s">
        <v>70</v>
      </c>
      <c r="I10" t="s">
        <v>82</v>
      </c>
    </row>
    <row r="11" spans="1:9" x14ac:dyDescent="0.25">
      <c r="C11" t="s">
        <v>71</v>
      </c>
      <c r="D11" t="s">
        <v>72</v>
      </c>
      <c r="E11" t="s">
        <v>73</v>
      </c>
      <c r="F11" t="s">
        <v>74</v>
      </c>
      <c r="G11" t="s">
        <v>75</v>
      </c>
      <c r="I11" t="s">
        <v>73</v>
      </c>
    </row>
    <row r="12" spans="1:9" x14ac:dyDescent="0.25">
      <c r="A12" t="s">
        <v>83</v>
      </c>
      <c r="B12">
        <v>70000</v>
      </c>
      <c r="C12">
        <v>40</v>
      </c>
      <c r="D12">
        <v>1108</v>
      </c>
      <c r="E12">
        <v>1153400</v>
      </c>
      <c r="F12">
        <v>28835</v>
      </c>
      <c r="G12">
        <f>PF1W*PRSIG/1000/1000</f>
        <v>6.3437000000000001</v>
      </c>
      <c r="I12">
        <v>1004510</v>
      </c>
    </row>
    <row r="13" spans="1:9" x14ac:dyDescent="0.25">
      <c r="A13" t="s">
        <v>84</v>
      </c>
      <c r="B13">
        <v>70000</v>
      </c>
      <c r="C13">
        <v>50</v>
      </c>
      <c r="D13">
        <v>1565</v>
      </c>
      <c r="E13">
        <v>2521680</v>
      </c>
      <c r="F13">
        <v>50428</v>
      </c>
      <c r="G13">
        <f>PF2W*PRSIG/1000/1000</f>
        <v>11.09416</v>
      </c>
      <c r="I13">
        <v>1290970</v>
      </c>
    </row>
    <row r="14" spans="1:9" x14ac:dyDescent="0.25">
      <c r="A14" t="s">
        <v>85</v>
      </c>
      <c r="B14">
        <v>210000</v>
      </c>
      <c r="E14" s="62">
        <f>10*70^3/12</f>
        <v>285833.33333333331</v>
      </c>
      <c r="I14" s="62">
        <f>10^3*70/12</f>
        <v>5833.333333333333</v>
      </c>
    </row>
    <row r="15" spans="1:9" x14ac:dyDescent="0.25">
      <c r="A15" t="s">
        <v>86</v>
      </c>
      <c r="B15">
        <v>210000</v>
      </c>
      <c r="E15">
        <f>10*90^3/12</f>
        <v>607500</v>
      </c>
      <c r="I15">
        <f>10^3*90/12</f>
        <v>7500</v>
      </c>
    </row>
    <row r="17" spans="1:7" x14ac:dyDescent="0.25">
      <c r="E17" t="s">
        <v>69</v>
      </c>
      <c r="G17" t="s">
        <v>70</v>
      </c>
    </row>
    <row r="18" spans="1:7" x14ac:dyDescent="0.25">
      <c r="A18" t="s">
        <v>87</v>
      </c>
      <c r="B18" t="s">
        <v>88</v>
      </c>
      <c r="C18">
        <v>10</v>
      </c>
      <c r="D18">
        <v>70</v>
      </c>
      <c r="E18" s="62">
        <f>C18*D18^2/6</f>
        <v>8166.666666666667</v>
      </c>
      <c r="G18">
        <f>EV80S*EVSIG/1000/1000*2*STF</f>
        <v>4.4426666666666668</v>
      </c>
    </row>
    <row r="19" spans="1:7" x14ac:dyDescent="0.25">
      <c r="B19" t="s">
        <v>89</v>
      </c>
      <c r="C19">
        <v>10</v>
      </c>
      <c r="D19">
        <v>90</v>
      </c>
      <c r="E19" s="62">
        <f>C19*D19^2/6</f>
        <v>13500</v>
      </c>
      <c r="G19">
        <f>EV100S*EVSIG/1000/1000*2*STF</f>
        <v>7.3440000000000003</v>
      </c>
    </row>
    <row r="20" spans="1:7" x14ac:dyDescent="0.25">
      <c r="E20" s="62"/>
    </row>
    <row r="24" spans="1:7" x14ac:dyDescent="0.25">
      <c r="A24" t="s">
        <v>22</v>
      </c>
      <c r="C24" t="s">
        <v>66</v>
      </c>
      <c r="D24" t="s">
        <v>67</v>
      </c>
      <c r="E24" t="s">
        <v>68</v>
      </c>
      <c r="F24" t="s">
        <v>69</v>
      </c>
      <c r="G24" t="s">
        <v>70</v>
      </c>
    </row>
    <row r="25" spans="1:7" x14ac:dyDescent="0.25">
      <c r="C25" t="s">
        <v>71</v>
      </c>
      <c r="D25" t="s">
        <v>72</v>
      </c>
      <c r="E25" t="s">
        <v>73</v>
      </c>
      <c r="F25" t="s">
        <v>74</v>
      </c>
    </row>
    <row r="26" spans="1:7" x14ac:dyDescent="0.25">
      <c r="A26" t="s">
        <v>90</v>
      </c>
      <c r="C26">
        <v>40</v>
      </c>
      <c r="D26">
        <v>9807</v>
      </c>
      <c r="E26">
        <v>1086800</v>
      </c>
      <c r="F26">
        <v>19834</v>
      </c>
    </row>
    <row r="27" spans="1:7" x14ac:dyDescent="0.25">
      <c r="A27" t="s">
        <v>91</v>
      </c>
      <c r="C27">
        <v>56</v>
      </c>
      <c r="D27">
        <v>1180</v>
      </c>
      <c r="E27">
        <v>2533690</v>
      </c>
      <c r="F27">
        <v>32259</v>
      </c>
    </row>
    <row r="28" spans="1:7" x14ac:dyDescent="0.25">
      <c r="A28" t="s">
        <v>92</v>
      </c>
      <c r="C28">
        <v>62</v>
      </c>
      <c r="D28">
        <v>1571</v>
      </c>
      <c r="E28">
        <v>4302630</v>
      </c>
      <c r="F28">
        <v>58944</v>
      </c>
    </row>
    <row r="29" spans="1:7" x14ac:dyDescent="0.25">
      <c r="A29" t="s">
        <v>93</v>
      </c>
      <c r="C29">
        <v>0</v>
      </c>
      <c r="D29">
        <v>0</v>
      </c>
      <c r="E29">
        <v>0</v>
      </c>
      <c r="F29">
        <v>0</v>
      </c>
    </row>
    <row r="30" spans="1:7" x14ac:dyDescent="0.25">
      <c r="A30" t="s">
        <v>94</v>
      </c>
      <c r="C30">
        <v>69</v>
      </c>
      <c r="D30">
        <v>1808</v>
      </c>
      <c r="E30">
        <v>5057630</v>
      </c>
      <c r="F30">
        <v>53065</v>
      </c>
    </row>
    <row r="31" spans="1:7" x14ac:dyDescent="0.25">
      <c r="A31" t="s">
        <v>95</v>
      </c>
      <c r="C31">
        <v>33</v>
      </c>
      <c r="D31">
        <v>8651</v>
      </c>
      <c r="E31">
        <v>949140</v>
      </c>
      <c r="F31">
        <v>18551</v>
      </c>
    </row>
    <row r="32" spans="1:7" x14ac:dyDescent="0.25">
      <c r="A32" t="s">
        <v>96</v>
      </c>
      <c r="C32">
        <v>46</v>
      </c>
      <c r="D32">
        <v>1065</v>
      </c>
      <c r="E32">
        <v>2251220</v>
      </c>
      <c r="F32">
        <v>30492</v>
      </c>
    </row>
    <row r="33" spans="1:6" x14ac:dyDescent="0.25">
      <c r="A33" t="s">
        <v>97</v>
      </c>
      <c r="C33">
        <v>52</v>
      </c>
      <c r="D33">
        <v>1447</v>
      </c>
      <c r="E33">
        <v>3935590</v>
      </c>
      <c r="F33">
        <v>57212</v>
      </c>
    </row>
    <row r="37" spans="1:6" x14ac:dyDescent="0.25">
      <c r="A37" t="s">
        <v>98</v>
      </c>
      <c r="B37">
        <v>320</v>
      </c>
    </row>
    <row r="38" spans="1:6" x14ac:dyDescent="0.25">
      <c r="A38" t="s">
        <v>99</v>
      </c>
      <c r="B38">
        <v>220</v>
      </c>
    </row>
    <row r="40" spans="1:6" x14ac:dyDescent="0.25">
      <c r="A40" t="s">
        <v>100</v>
      </c>
      <c r="B40">
        <v>12</v>
      </c>
    </row>
  </sheetData>
  <sheetProtection algorithmName="SHA-512" hashValue="Tnjf+eF2ytvtM/Chk/dJrdkilWtex7f+X6BqFlUB/XGsCsSSvOnWfKITZjJbJr8B29dN/itlP1a2GpLKZaZzTg==" saltValue="yv4bewQqhi4kBiytOgm1fQ==" spinCount="100000" sheet="1" objects="1" scenarios="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36E02-4FC3-4548-91DA-9109738AD028}">
  <sheetPr codeName="Tabelle5"/>
  <dimension ref="A2:AV19"/>
  <sheetViews>
    <sheetView topLeftCell="I1" workbookViewId="0">
      <selection activeCell="N26" sqref="N26"/>
    </sheetView>
  </sheetViews>
  <sheetFormatPr baseColWidth="10" defaultColWidth="11.42578125" defaultRowHeight="15" x14ac:dyDescent="0.25"/>
  <cols>
    <col min="2" max="2" width="12.28515625" customWidth="1"/>
    <col min="5" max="5" width="5.42578125" customWidth="1"/>
    <col min="6" max="7" width="9.7109375" customWidth="1"/>
    <col min="8" max="8" width="6.5703125" customWidth="1"/>
    <col min="9" max="10" width="9.7109375" customWidth="1"/>
    <col min="12" max="15" width="11.42578125" customWidth="1"/>
    <col min="20" max="20" width="5.7109375" customWidth="1"/>
    <col min="21" max="21" width="5.85546875" customWidth="1"/>
    <col min="22" max="22" width="7.5703125" customWidth="1"/>
    <col min="23" max="23" width="7.28515625" customWidth="1"/>
    <col min="25" max="29" width="6.42578125" customWidth="1"/>
    <col min="36" max="36" width="15" bestFit="1" customWidth="1"/>
    <col min="37" max="37" width="15" customWidth="1"/>
    <col min="38" max="38" width="10.28515625" customWidth="1"/>
  </cols>
  <sheetData>
    <row r="2" spans="1:48" x14ac:dyDescent="0.25">
      <c r="C2" s="209" t="s">
        <v>101</v>
      </c>
      <c r="D2" s="209"/>
      <c r="E2" s="161"/>
      <c r="F2" s="209" t="s">
        <v>102</v>
      </c>
      <c r="G2" s="209"/>
      <c r="H2" s="161"/>
      <c r="I2" s="209" t="s">
        <v>103</v>
      </c>
      <c r="J2" s="209"/>
      <c r="K2" s="161"/>
      <c r="L2" s="161" t="s">
        <v>104</v>
      </c>
      <c r="M2" s="161"/>
      <c r="N2" s="161" t="s">
        <v>105</v>
      </c>
      <c r="O2" s="161"/>
      <c r="P2" s="209" t="s">
        <v>106</v>
      </c>
      <c r="Q2" s="209"/>
      <c r="R2" s="161"/>
      <c r="S2" s="161"/>
      <c r="U2" t="s">
        <v>107</v>
      </c>
      <c r="X2" t="s">
        <v>108</v>
      </c>
      <c r="AD2" s="209" t="s">
        <v>109</v>
      </c>
      <c r="AE2" s="209"/>
      <c r="AF2" s="161"/>
      <c r="AG2" s="161"/>
      <c r="AH2" s="161"/>
      <c r="AI2" s="161"/>
      <c r="AJ2" s="161"/>
      <c r="AK2" s="161" t="s">
        <v>105</v>
      </c>
      <c r="AL2" s="161"/>
      <c r="AN2" s="209" t="s">
        <v>110</v>
      </c>
      <c r="AO2" s="209"/>
      <c r="AP2" s="209"/>
      <c r="AQ2" s="209"/>
      <c r="AR2" s="209"/>
      <c r="AS2" s="209"/>
      <c r="AT2" s="209"/>
      <c r="AU2" s="209"/>
    </row>
    <row r="3" spans="1:48" x14ac:dyDescent="0.25"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79">
        <f>EINGABE!G53</f>
        <v>4</v>
      </c>
      <c r="Q3" s="161">
        <f>MSTSP</f>
        <v>2</v>
      </c>
      <c r="R3" s="161"/>
      <c r="S3" s="161"/>
    </row>
    <row r="4" spans="1:48" x14ac:dyDescent="0.25">
      <c r="C4" t="s">
        <v>111</v>
      </c>
      <c r="D4" t="s">
        <v>112</v>
      </c>
      <c r="F4" t="s">
        <v>111</v>
      </c>
      <c r="G4" t="s">
        <v>112</v>
      </c>
      <c r="I4" t="s">
        <v>113</v>
      </c>
      <c r="J4" t="s">
        <v>114</v>
      </c>
      <c r="L4" t="s">
        <v>115</v>
      </c>
      <c r="N4" t="s">
        <v>116</v>
      </c>
      <c r="P4" t="s">
        <v>70</v>
      </c>
      <c r="Q4" t="s">
        <v>70</v>
      </c>
      <c r="U4" t="s">
        <v>117</v>
      </c>
      <c r="X4" t="s">
        <v>118</v>
      </c>
      <c r="AC4" t="s">
        <v>119</v>
      </c>
      <c r="AE4" s="161" t="s">
        <v>118</v>
      </c>
      <c r="AF4" t="s">
        <v>120</v>
      </c>
      <c r="AG4" t="s">
        <v>121</v>
      </c>
      <c r="AJ4" t="s">
        <v>118</v>
      </c>
      <c r="AN4" t="s">
        <v>122</v>
      </c>
      <c r="AR4" t="s">
        <v>123</v>
      </c>
      <c r="AS4" t="s">
        <v>124</v>
      </c>
      <c r="AU4" t="s">
        <v>125</v>
      </c>
    </row>
    <row r="6" spans="1:48" x14ac:dyDescent="0.25">
      <c r="A6" t="s">
        <v>126</v>
      </c>
      <c r="B6">
        <v>130080</v>
      </c>
      <c r="C6" s="13">
        <f>F1P1!$E$48</f>
        <v>4.6196385156249997</v>
      </c>
      <c r="D6" s="13">
        <f>F1P1!$E$49</f>
        <v>0.74199721882523351</v>
      </c>
      <c r="E6" s="13"/>
      <c r="F6" s="13">
        <f>F1P1!$E$50</f>
        <v>4.4664314843749997</v>
      </c>
      <c r="G6" s="13">
        <f>F1P1!E$51</f>
        <v>-0.60265346882523363</v>
      </c>
      <c r="H6" s="13"/>
      <c r="I6" s="13">
        <f>ABS(F1P1!$E$53)</f>
        <v>1.2436605511042496</v>
      </c>
      <c r="J6" s="13">
        <f>ABS(F1P1!$E$54)</f>
        <v>1.6278023678927616</v>
      </c>
      <c r="K6" s="13"/>
      <c r="L6" s="13">
        <f>(MAX(PFAE:PFBE))^2/2*LLFT+(MAX(PFAE:PFBE)*OLF*LLUB*B/2)</f>
        <v>0</v>
      </c>
      <c r="M6" s="13"/>
      <c r="N6" s="13">
        <f t="shared" ref="N6:N13" si="0">-(MSTSP^2*LLFT/10)</f>
        <v>-0.92714999999999992</v>
      </c>
      <c r="O6" s="13"/>
      <c r="P6" s="13">
        <f>MAX(I6:J6)+L6</f>
        <v>1.6278023678927616</v>
      </c>
      <c r="Q6" s="13">
        <f>P6+N6</f>
        <v>0.70065236789276164</v>
      </c>
      <c r="R6" s="13"/>
      <c r="S6" s="13"/>
      <c r="U6" s="62">
        <f>F1P1!$E$57</f>
        <v>4.91907654668214</v>
      </c>
      <c r="V6" s="13">
        <f t="shared" ref="V6:V13" si="1">U6/(H*1000)*200</f>
        <v>0.46848348063639433</v>
      </c>
      <c r="W6" s="62"/>
      <c r="X6" s="62">
        <f>F1P1!$E$60</f>
        <v>18.912095276170003</v>
      </c>
      <c r="Y6" s="13">
        <f t="shared" ref="Y6:Y13" si="2">X6/(((L-PFAE-PFBE)*1000)/200)</f>
        <v>0.94560476380850012</v>
      </c>
      <c r="Z6" s="62">
        <f t="shared" ref="Z6:Z13" si="3">X6/femx</f>
        <v>1.5760079396808335</v>
      </c>
      <c r="AA6" s="62"/>
      <c r="AB6" s="62"/>
      <c r="AC6" s="80">
        <f>F1P1!$E$55</f>
        <v>4.4521742999999994</v>
      </c>
      <c r="AD6" s="79">
        <f>AC6/M130TF</f>
        <v>0.45941330100092859</v>
      </c>
      <c r="AE6" s="80">
        <f>F1P1!$E$58</f>
        <v>30.850419896969697</v>
      </c>
      <c r="AF6" s="13">
        <f t="shared" ref="AF6:AF15" si="4">AE6/(((L-PFAE-PFBE)*1000)/200)</f>
        <v>1.5425209948484848</v>
      </c>
      <c r="AG6" s="62">
        <f t="shared" ref="AG6:AG13" si="5">AE6/femx</f>
        <v>2.5708683247474746</v>
      </c>
      <c r="AH6" s="62"/>
      <c r="AI6" s="62"/>
      <c r="AJ6" s="13">
        <f>LLFT*(MSTSP*1000)^4/(FT1I*70000)/185</f>
        <v>0.86781326781326773</v>
      </c>
      <c r="AK6" s="13">
        <f>AJ6/((MSTSP*1000)/200)</f>
        <v>8.6781326781326773E-2</v>
      </c>
      <c r="AL6" s="13">
        <f>AJ6/femx</f>
        <v>7.2317772317772311E-2</v>
      </c>
      <c r="AN6" s="13">
        <f>P6/M80EV</f>
        <v>0.36640209361331666</v>
      </c>
      <c r="AO6" s="13"/>
      <c r="AP6" s="13">
        <f>Q6/M80EV</f>
        <v>0.15770986672256038</v>
      </c>
      <c r="AQ6" s="13">
        <f>Q6/M80EV</f>
        <v>0.15770986672256038</v>
      </c>
      <c r="AR6" s="13">
        <f>P6/M80PF</f>
        <v>0.25660141051638025</v>
      </c>
      <c r="AS6" s="13">
        <f>(AC6-MIN(I6:J6))/M130TF</f>
        <v>0.33108180258959341</v>
      </c>
      <c r="AT6" s="13"/>
      <c r="AU6" s="13">
        <f t="shared" ref="AU6:AU13" si="6">MAX(AN6:AS6)</f>
        <v>0.36640209361331666</v>
      </c>
      <c r="AV6" s="13">
        <f t="shared" ref="AV6:AV13" si="7">MAX(AP6:AT6)</f>
        <v>0.33108180258959341</v>
      </c>
    </row>
    <row r="7" spans="1:48" x14ac:dyDescent="0.25">
      <c r="A7" t="s">
        <v>127</v>
      </c>
      <c r="B7">
        <v>130100</v>
      </c>
      <c r="C7" s="13">
        <f>F1P2!$E$48</f>
        <v>4.6196385156249997</v>
      </c>
      <c r="D7" s="13">
        <f>F1P2!$E$49</f>
        <v>1.0005322086646018</v>
      </c>
      <c r="E7" s="13"/>
      <c r="F7" s="13">
        <f>F1P1!$E$50</f>
        <v>4.4664314843749997</v>
      </c>
      <c r="G7" s="13">
        <f>F1P2!E$51</f>
        <v>-0.8611884586646017</v>
      </c>
      <c r="H7" s="13"/>
      <c r="I7" s="13">
        <f>ABS(F1P2!$E$53)</f>
        <v>1.8186990246100951</v>
      </c>
      <c r="J7" s="13">
        <f>ABS(F1P2!$E$54)</f>
        <v>2.1828543599676129</v>
      </c>
      <c r="K7" s="13"/>
      <c r="L7" s="13">
        <f>(MAX(PFAE:PFBE))^2/2*LLFT+(MAX(PFAE:PFBE)*OLF*LLUB*B/2)</f>
        <v>0</v>
      </c>
      <c r="M7" s="13"/>
      <c r="N7" s="13">
        <f t="shared" si="0"/>
        <v>-0.92714999999999992</v>
      </c>
      <c r="O7" s="13"/>
      <c r="P7" s="13">
        <f t="shared" ref="P7:P13" si="8">MAX(I7:J7)+L7</f>
        <v>2.1828543599676129</v>
      </c>
      <c r="Q7" s="13">
        <f t="shared" ref="Q7:Q13" si="9">P7+N7</f>
        <v>1.255704359967613</v>
      </c>
      <c r="R7" s="13"/>
      <c r="S7" s="13"/>
      <c r="U7" s="62">
        <f>F1P2!$E$57</f>
        <v>2.7193926975598375</v>
      </c>
      <c r="V7" s="13">
        <f t="shared" si="1"/>
        <v>0.25898978071998452</v>
      </c>
      <c r="W7" s="62"/>
      <c r="X7" s="62">
        <f>F1P2!$E$60</f>
        <v>14.213658552604198</v>
      </c>
      <c r="Y7" s="13">
        <f t="shared" si="2"/>
        <v>0.7106829276302099</v>
      </c>
      <c r="Z7" s="62">
        <f t="shared" si="3"/>
        <v>1.1844715460503499</v>
      </c>
      <c r="AA7" s="62"/>
      <c r="AB7" s="62"/>
      <c r="AC7" s="80">
        <f>F1P2!$E$55</f>
        <v>4.4521742999999994</v>
      </c>
      <c r="AD7" s="79">
        <f>AC7/M130TF</f>
        <v>0.45941330100092859</v>
      </c>
      <c r="AE7" s="80">
        <f>F1P2!$E$58</f>
        <v>30.850419896969697</v>
      </c>
      <c r="AF7" s="13">
        <f t="shared" si="4"/>
        <v>1.5425209948484848</v>
      </c>
      <c r="AG7" s="62">
        <f t="shared" si="5"/>
        <v>2.5708683247474746</v>
      </c>
      <c r="AH7" s="62"/>
      <c r="AI7" s="62"/>
      <c r="AJ7" s="13"/>
      <c r="AK7" s="13">
        <f>AK6</f>
        <v>8.6781326781326773E-2</v>
      </c>
      <c r="AL7" s="13">
        <f>AL6</f>
        <v>7.2317772317772311E-2</v>
      </c>
      <c r="AN7" s="13">
        <f>P7/M100EV</f>
        <v>0.2972296241785965</v>
      </c>
      <c r="AO7" s="13"/>
      <c r="AP7" s="13">
        <f>Q7/M100EV</f>
        <v>0.17098370914591679</v>
      </c>
      <c r="AQ7" s="13">
        <f>Q7/M100EV</f>
        <v>0.17098370914591679</v>
      </c>
      <c r="AR7" s="13">
        <f>P7/M100PF</f>
        <v>0.19675706497541165</v>
      </c>
      <c r="AS7" s="13">
        <f>(AC7-MIN(I7:J7))/M130TF</f>
        <v>0.27174443043957325</v>
      </c>
      <c r="AT7" s="13"/>
      <c r="AU7" s="13">
        <f t="shared" si="6"/>
        <v>0.2972296241785965</v>
      </c>
      <c r="AV7" s="13">
        <f t="shared" si="7"/>
        <v>0.27174443043957325</v>
      </c>
    </row>
    <row r="8" spans="1:48" x14ac:dyDescent="0.25">
      <c r="A8" t="s">
        <v>128</v>
      </c>
      <c r="B8">
        <v>170080</v>
      </c>
      <c r="C8" s="13">
        <f>F2P1!$E$48</f>
        <v>4.6196385156249997</v>
      </c>
      <c r="D8" s="13">
        <f>F2P1!$E$49</f>
        <v>0.4939163030340068</v>
      </c>
      <c r="E8" s="13"/>
      <c r="F8" s="13">
        <f>F2P1!$E$50</f>
        <v>4.4664314843749997</v>
      </c>
      <c r="G8" s="13">
        <f>F2P1!E$51</f>
        <v>-0.35457255303400681</v>
      </c>
      <c r="H8" s="13"/>
      <c r="I8" s="13">
        <f>ABS(F2P1!$E$53)</f>
        <v>0.71416769634383803</v>
      </c>
      <c r="J8" s="13">
        <f>ABS(F2P1!$E$54)</f>
        <v>1.0919962649348856</v>
      </c>
      <c r="K8" s="13"/>
      <c r="L8" s="13">
        <f>(MAX(PFAE:PFBE))^2/2*LLFT+(MAX(PFAE:PFBE)*OLF*LLUB*B/2)</f>
        <v>0</v>
      </c>
      <c r="M8" s="13"/>
      <c r="N8" s="13">
        <f t="shared" si="0"/>
        <v>-0.92714999999999992</v>
      </c>
      <c r="O8" s="13"/>
      <c r="P8" s="13">
        <f t="shared" si="8"/>
        <v>1.0919962649348856</v>
      </c>
      <c r="Q8" s="13">
        <f t="shared" si="9"/>
        <v>0.16484626493488563</v>
      </c>
      <c r="R8" s="13"/>
      <c r="S8" s="13"/>
      <c r="U8" s="62">
        <f>F2P1!$E$57</f>
        <v>4.2242493884646999</v>
      </c>
      <c r="V8" s="13">
        <f t="shared" si="1"/>
        <v>0.40230946556806663</v>
      </c>
      <c r="W8" s="62"/>
      <c r="X8" s="62">
        <f>F2P1!$E$60</f>
        <v>10.894740609795745</v>
      </c>
      <c r="Y8" s="13">
        <f t="shared" si="2"/>
        <v>0.54473703048978728</v>
      </c>
      <c r="Z8" s="62">
        <f t="shared" si="3"/>
        <v>0.90789505081631205</v>
      </c>
      <c r="AA8" s="62"/>
      <c r="AB8" s="62"/>
      <c r="AC8" s="80">
        <f>F2P1!$E$55</f>
        <v>4.4521742999999994</v>
      </c>
      <c r="AD8" s="79">
        <f>AC8/M170FT</f>
        <v>0.26882156067388724</v>
      </c>
      <c r="AE8" s="80">
        <f>F2P1!$E$58</f>
        <v>14.399771663366337</v>
      </c>
      <c r="AF8" s="13">
        <f t="shared" si="4"/>
        <v>0.71998858316831682</v>
      </c>
      <c r="AG8" s="62">
        <f t="shared" si="5"/>
        <v>1.1999809719471948</v>
      </c>
      <c r="AH8" s="62"/>
      <c r="AI8" s="62"/>
      <c r="AJ8" s="13">
        <f>LLFT*(MSTSP*1000)^4/(FT2I*70000)/185</f>
        <v>0.40506135555640504</v>
      </c>
      <c r="AK8" s="13">
        <f>AJ8/((MSTSP*1000)/200)</f>
        <v>4.0506135555640504E-2</v>
      </c>
      <c r="AL8" s="13">
        <f>AJ8/femx</f>
        <v>3.3755112963033754E-2</v>
      </c>
      <c r="AN8" s="13">
        <f>P8/M80EV</f>
        <v>0.24579747860178996</v>
      </c>
      <c r="AO8" s="13"/>
      <c r="AP8" s="13">
        <f>Q8/M80EV</f>
        <v>3.7105251711033682E-2</v>
      </c>
      <c r="AQ8" s="13">
        <f>Q8/M80EV</f>
        <v>3.7105251711033682E-2</v>
      </c>
      <c r="AR8" s="13">
        <f>P8/M80PF</f>
        <v>0.17213869901396434</v>
      </c>
      <c r="AS8" s="13">
        <f>(AC8-MIN(I8:J8))/M170FT</f>
        <v>0.22570023123401661</v>
      </c>
      <c r="AT8" s="13"/>
      <c r="AU8" s="13">
        <f t="shared" si="6"/>
        <v>0.24579747860178996</v>
      </c>
      <c r="AV8" s="13">
        <f t="shared" si="7"/>
        <v>0.22570023123401661</v>
      </c>
    </row>
    <row r="9" spans="1:48" x14ac:dyDescent="0.25">
      <c r="A9" t="s">
        <v>129</v>
      </c>
      <c r="B9">
        <v>170100</v>
      </c>
      <c r="C9" s="13">
        <f>F2P2!$E$48</f>
        <v>4.6196385156249997</v>
      </c>
      <c r="D9" s="13">
        <f>F2P2!$E$49</f>
        <v>0.74897539329188967</v>
      </c>
      <c r="E9" s="13"/>
      <c r="F9" s="13">
        <f>F2P2!$E$50</f>
        <v>4.4664314843749997</v>
      </c>
      <c r="G9" s="13">
        <f>F2P2!E$51</f>
        <v>-0.60963164329188979</v>
      </c>
      <c r="H9" s="13"/>
      <c r="I9" s="13">
        <f>ABS(F2P2!$E$53)</f>
        <v>1.2787051989258316</v>
      </c>
      <c r="J9" s="13">
        <f>ABS(F2P2!$E$54)</f>
        <v>1.6371822836139371</v>
      </c>
      <c r="K9" s="13"/>
      <c r="L9" s="13">
        <f>(MAX(PFAE:PFBE))^2/2*LLFT+(MAX(PFAE:PFBE)*OLF*LLUB*B/2)</f>
        <v>0</v>
      </c>
      <c r="M9" s="13"/>
      <c r="N9" s="13">
        <f t="shared" si="0"/>
        <v>-0.92714999999999992</v>
      </c>
      <c r="O9" s="13"/>
      <c r="P9" s="13">
        <f t="shared" si="8"/>
        <v>1.6371822836139371</v>
      </c>
      <c r="Q9" s="13">
        <f t="shared" si="9"/>
        <v>0.71003228361393722</v>
      </c>
      <c r="R9" s="13"/>
      <c r="S9" s="13"/>
      <c r="U9" s="62">
        <f>F2P2!$E$57</f>
        <v>2.0944524682404411</v>
      </c>
      <c r="V9" s="13">
        <f t="shared" si="1"/>
        <v>0.19947166364194677</v>
      </c>
      <c r="W9" s="62"/>
      <c r="X9" s="62">
        <f>F2P2!$E$60</f>
        <v>8.7412177368535176</v>
      </c>
      <c r="Y9" s="13">
        <f t="shared" si="2"/>
        <v>0.43706088684267586</v>
      </c>
      <c r="Z9" s="62">
        <f t="shared" si="3"/>
        <v>0.72843481140445976</v>
      </c>
      <c r="AA9" s="62"/>
      <c r="AB9" s="62"/>
      <c r="AC9" s="80">
        <f>F2P2!$E$55</f>
        <v>4.4521742999999994</v>
      </c>
      <c r="AD9" s="79">
        <f>AC9/M170FT</f>
        <v>0.26882156067388724</v>
      </c>
      <c r="AE9" s="80">
        <f>F2P2!$E$58</f>
        <v>14.399771663366337</v>
      </c>
      <c r="AF9" s="13">
        <f t="shared" si="4"/>
        <v>0.71998858316831682</v>
      </c>
      <c r="AG9" s="62">
        <f t="shared" si="5"/>
        <v>1.1999809719471948</v>
      </c>
      <c r="AH9" s="62"/>
      <c r="AI9" s="62"/>
      <c r="AJ9" s="13"/>
      <c r="AK9" s="13">
        <f>AK8</f>
        <v>4.0506135555640504E-2</v>
      </c>
      <c r="AL9" s="13">
        <f>AL8</f>
        <v>3.3755112963033754E-2</v>
      </c>
      <c r="AN9" s="13">
        <f>P9/M100EV</f>
        <v>0.22292787086246421</v>
      </c>
      <c r="AO9" s="13"/>
      <c r="AP9" s="13">
        <f>Q9/M100EV</f>
        <v>9.6681955829784477E-2</v>
      </c>
      <c r="AQ9" s="13">
        <f>Q9/M100EV</f>
        <v>9.6681955829784477E-2</v>
      </c>
      <c r="AR9" s="13">
        <f>P9/M100PF</f>
        <v>0.14757154066769698</v>
      </c>
      <c r="AS9" s="13">
        <f>(AC9-MIN(I9:J9))/M170FT</f>
        <v>0.19161354857583088</v>
      </c>
      <c r="AT9" s="13"/>
      <c r="AU9" s="13">
        <f t="shared" si="6"/>
        <v>0.22292787086246421</v>
      </c>
      <c r="AV9" s="13">
        <f t="shared" si="7"/>
        <v>0.19161354857583088</v>
      </c>
    </row>
    <row r="10" spans="1:48" x14ac:dyDescent="0.25">
      <c r="A10" t="s">
        <v>130</v>
      </c>
      <c r="B10">
        <v>205080</v>
      </c>
      <c r="C10" s="13">
        <f>F3P1!$E$48</f>
        <v>4.6196385156249997</v>
      </c>
      <c r="D10" s="13">
        <f>F3P1!$E$49</f>
        <v>0.35887671633622653</v>
      </c>
      <c r="E10" s="13"/>
      <c r="F10" s="13">
        <f>F3P1!$E$50</f>
        <v>4.4664314843749997</v>
      </c>
      <c r="G10" s="13">
        <f>F3P1!E$51</f>
        <v>-0.21953296633622654</v>
      </c>
      <c r="H10" s="13"/>
      <c r="I10" s="13">
        <f>ABS(F3P1!$E$53)</f>
        <v>0.42673648576621198</v>
      </c>
      <c r="J10" s="13">
        <f>ABS(F3P1!$E$54)</f>
        <v>0.80238772580904993</v>
      </c>
      <c r="K10" s="13"/>
      <c r="L10" s="13">
        <f>(MAX(PFAE:PFBE))^2/2*LLFT+(MAX(PFAE:PFBE)*OLF*LLUB*B/2)</f>
        <v>0</v>
      </c>
      <c r="M10" s="13"/>
      <c r="N10" s="13">
        <f t="shared" si="0"/>
        <v>-0.92714999999999992</v>
      </c>
      <c r="O10" s="13"/>
      <c r="P10" s="13">
        <f t="shared" si="8"/>
        <v>0.80238772580904993</v>
      </c>
      <c r="Q10" s="13">
        <f t="shared" si="9"/>
        <v>-0.12476227419094998</v>
      </c>
      <c r="R10" s="13"/>
      <c r="S10" s="13"/>
      <c r="U10" s="62">
        <f>F3P1!$E$57</f>
        <v>3.9846156911445672</v>
      </c>
      <c r="V10" s="13">
        <f t="shared" si="1"/>
        <v>0.37948720868043495</v>
      </c>
      <c r="W10" s="62"/>
      <c r="X10" s="62">
        <f>F3P1!$E$60</f>
        <v>7.1737929125185413</v>
      </c>
      <c r="Y10" s="13">
        <f t="shared" si="2"/>
        <v>0.35868964562592709</v>
      </c>
      <c r="Z10" s="62">
        <f t="shared" si="3"/>
        <v>0.59781607604321174</v>
      </c>
      <c r="AA10" s="62"/>
      <c r="AB10" s="62"/>
      <c r="AC10" s="80">
        <f>F3P1!$E$55</f>
        <v>4.4521742999999994</v>
      </c>
      <c r="AD10" s="79">
        <f>AC10/M205FT</f>
        <v>0.18829465098339077</v>
      </c>
      <c r="AE10" s="80">
        <f>F3P1!$E$58</f>
        <v>8.5979967130349451</v>
      </c>
      <c r="AF10" s="13">
        <f t="shared" si="4"/>
        <v>0.42989983565174728</v>
      </c>
      <c r="AG10" s="62">
        <f t="shared" si="5"/>
        <v>0.71649972608624546</v>
      </c>
      <c r="AH10" s="62"/>
      <c r="AI10" s="62"/>
      <c r="AJ10" s="13">
        <f>LLFT*(MSTSP*1000)^4/(FT3I*70000)/185</f>
        <v>0.24185912701043974</v>
      </c>
      <c r="AK10" s="13">
        <f>AJ10/((MSTSP*1000)/200)</f>
        <v>2.4185912701043973E-2</v>
      </c>
      <c r="AL10" s="13">
        <f>AJ10/femx</f>
        <v>2.0154927250869977E-2</v>
      </c>
      <c r="AN10" s="13">
        <f>P10/M80EV</f>
        <v>0.18060948209987618</v>
      </c>
      <c r="AO10" s="13"/>
      <c r="AP10" s="13">
        <f>Q10/M80EV</f>
        <v>-2.8082744790880097E-2</v>
      </c>
      <c r="AQ10" s="13">
        <f>Q10/M80EV</f>
        <v>-2.8082744790880097E-2</v>
      </c>
      <c r="AR10" s="13">
        <f>P10/M80PF</f>
        <v>0.12648576159166575</v>
      </c>
      <c r="AS10" s="13">
        <f>(AC10-MIN(I10:J10))/M205FT</f>
        <v>0.17024679565813372</v>
      </c>
      <c r="AT10" s="13"/>
      <c r="AU10" s="13">
        <f t="shared" si="6"/>
        <v>0.18060948209987618</v>
      </c>
      <c r="AV10" s="13">
        <f t="shared" si="7"/>
        <v>0.17024679565813372</v>
      </c>
    </row>
    <row r="11" spans="1:48" x14ac:dyDescent="0.25">
      <c r="A11" t="s">
        <v>131</v>
      </c>
      <c r="B11">
        <v>205100</v>
      </c>
      <c r="C11" s="13">
        <f>F3P2!$E$48</f>
        <v>4.6196385156249997</v>
      </c>
      <c r="D11" s="13">
        <f>F3P2!$E$49</f>
        <v>0.5758690601299139</v>
      </c>
      <c r="E11" s="13"/>
      <c r="F11" s="13">
        <f>F3P2!$E$50</f>
        <v>4.4664314843749997</v>
      </c>
      <c r="G11" s="13">
        <f>F3P2!E$51</f>
        <v>-0.43652531012991397</v>
      </c>
      <c r="H11" s="13"/>
      <c r="I11" s="13">
        <f>ABS(F3P2!$E$53)</f>
        <v>0.90706396299959402</v>
      </c>
      <c r="J11" s="13">
        <f>ABS(F3P2!$E$54)</f>
        <v>1.2635804640145627</v>
      </c>
      <c r="K11" s="13"/>
      <c r="L11" s="13">
        <f>(MAX(PFAE:PFBE))^2/2*LLFT+(MAX(PFAE:PFBE)*OLF*LLUB*B/2)</f>
        <v>0</v>
      </c>
      <c r="M11" s="13"/>
      <c r="N11" s="13">
        <f t="shared" si="0"/>
        <v>-0.92714999999999992</v>
      </c>
      <c r="O11" s="13"/>
      <c r="P11" s="13">
        <f t="shared" si="8"/>
        <v>1.2635804640145627</v>
      </c>
      <c r="Q11" s="13">
        <f t="shared" si="9"/>
        <v>0.33643046401456278</v>
      </c>
      <c r="R11" s="13"/>
      <c r="S11" s="13"/>
      <c r="U11" s="62">
        <f>F3P2!$E$57</f>
        <v>1.87867340500003</v>
      </c>
      <c r="V11" s="13">
        <f t="shared" si="1"/>
        <v>0.17892127666666952</v>
      </c>
      <c r="W11" s="62"/>
      <c r="X11" s="62">
        <f>F3P2!$E$60</f>
        <v>6.0828399750830631</v>
      </c>
      <c r="Y11" s="13">
        <f t="shared" si="2"/>
        <v>0.30414199875415315</v>
      </c>
      <c r="Z11" s="62">
        <f t="shared" si="3"/>
        <v>0.50690333125692189</v>
      </c>
      <c r="AA11" s="62"/>
      <c r="AB11" s="62"/>
      <c r="AC11" s="80">
        <f>F3P2!$E$55</f>
        <v>4.4521742999999994</v>
      </c>
      <c r="AD11" s="79">
        <f>AC11/M205FT</f>
        <v>0.18829465098339077</v>
      </c>
      <c r="AE11" s="80">
        <f>F3P2!$E$58</f>
        <v>8.5979967130349451</v>
      </c>
      <c r="AF11" s="13">
        <f t="shared" si="4"/>
        <v>0.42989983565174728</v>
      </c>
      <c r="AG11" s="62">
        <f t="shared" si="5"/>
        <v>0.71649972608624546</v>
      </c>
      <c r="AH11" s="62"/>
      <c r="AI11" s="62"/>
      <c r="AJ11" s="13"/>
      <c r="AK11" s="13">
        <f>AK10</f>
        <v>2.4185912701043973E-2</v>
      </c>
      <c r="AL11" s="13">
        <f>AL10</f>
        <v>2.0154927250869977E-2</v>
      </c>
      <c r="AN11" s="13">
        <f>P11/M100EV</f>
        <v>0.17205616340067575</v>
      </c>
      <c r="AO11" s="13"/>
      <c r="AP11" s="13">
        <f>Q11/M100EV</f>
        <v>4.581024836799602E-2</v>
      </c>
      <c r="AQ11" s="13">
        <f>Q11/M100EV</f>
        <v>4.581024836799602E-2</v>
      </c>
      <c r="AR11" s="13">
        <f>P11/M100PF</f>
        <v>0.11389600150120087</v>
      </c>
      <c r="AS11" s="13">
        <f>(AC11-MIN(I11:J11))/M205FT</f>
        <v>0.14993243045383517</v>
      </c>
      <c r="AT11" s="13"/>
      <c r="AU11" s="13">
        <f t="shared" si="6"/>
        <v>0.17205616340067575</v>
      </c>
      <c r="AV11" s="13">
        <f t="shared" si="7"/>
        <v>0.14993243045383517</v>
      </c>
    </row>
    <row r="12" spans="1:48" x14ac:dyDescent="0.25">
      <c r="A12" t="s">
        <v>132</v>
      </c>
      <c r="B12">
        <v>240080</v>
      </c>
      <c r="C12" s="13">
        <f>F4P1!$E$48</f>
        <v>4.6196385156249997</v>
      </c>
      <c r="D12" s="13">
        <f>F4P1!$E$49</f>
        <v>0.24014144269345006</v>
      </c>
      <c r="E12" s="13"/>
      <c r="F12" s="13">
        <f>F4P1!$E$50</f>
        <v>4.4664314843749997</v>
      </c>
      <c r="G12" s="13">
        <f>F4P1!E$51</f>
        <v>-0.10079769269345007</v>
      </c>
      <c r="H12" s="13"/>
      <c r="I12" s="13">
        <f>ABS(F4P1!$E$53)</f>
        <v>0.17462253392919874</v>
      </c>
      <c r="J12" s="13">
        <f>ABS(F4P1!$E$54)</f>
        <v>0.54877660155642127</v>
      </c>
      <c r="K12" s="13"/>
      <c r="L12" s="13">
        <f>(MAX(PFAE:PFBE))^2/2*LLFT+(MAX(PFAE:PFBE)*OLF*LLUB*B/2)</f>
        <v>0</v>
      </c>
      <c r="M12" s="13"/>
      <c r="N12" s="13">
        <f t="shared" si="0"/>
        <v>-0.92714999999999992</v>
      </c>
      <c r="O12" s="13"/>
      <c r="P12" s="13">
        <f t="shared" si="8"/>
        <v>0.54877660155642127</v>
      </c>
      <c r="Q12" s="13">
        <f t="shared" si="9"/>
        <v>-0.37837339844357865</v>
      </c>
      <c r="R12" s="13"/>
      <c r="S12" s="13"/>
      <c r="U12" s="62">
        <f>F4P1!$E$57</f>
        <v>3.8198390148020445</v>
      </c>
      <c r="V12" s="13">
        <f t="shared" si="1"/>
        <v>0.363794191885909</v>
      </c>
      <c r="W12" s="62"/>
      <c r="X12" s="62">
        <f>F4P1!$E$60</f>
        <v>4.1239384883813868</v>
      </c>
      <c r="Y12" s="13">
        <f t="shared" si="2"/>
        <v>0.20619692441906934</v>
      </c>
      <c r="Z12" s="62">
        <f t="shared" si="3"/>
        <v>0.3436615406984489</v>
      </c>
      <c r="AA12" s="62"/>
      <c r="AB12" s="62"/>
      <c r="AC12" s="80">
        <f>F4P1!$E$55</f>
        <v>4.4521742999999994</v>
      </c>
      <c r="AD12" s="79">
        <f>AC12/M240FT</f>
        <v>0.11038107499817772</v>
      </c>
      <c r="AE12" s="80">
        <f>F4P1!$E$58</f>
        <v>4.5694068967684025</v>
      </c>
      <c r="AF12" s="13">
        <f t="shared" si="4"/>
        <v>0.22847034483842013</v>
      </c>
      <c r="AG12" s="62">
        <f t="shared" si="5"/>
        <v>0.38078390806403356</v>
      </c>
      <c r="AH12" s="62"/>
      <c r="AI12" s="62"/>
      <c r="AJ12" s="13">
        <f>LLFT*(MSTSP*1000)^4/((FT4I*70000)*184)</f>
        <v>0.12923464210444149</v>
      </c>
      <c r="AK12" s="13">
        <f>AJ12/((MSTSP*1000)/200)</f>
        <v>1.2923464210444149E-2</v>
      </c>
      <c r="AL12" s="13">
        <f>AJ12/femx</f>
        <v>1.0769553508703457E-2</v>
      </c>
      <c r="AN12" s="13">
        <f>P12/M80EV</f>
        <v>0.12352414500819807</v>
      </c>
      <c r="AO12" s="13"/>
      <c r="AP12" s="13">
        <f>Q12/M80EV</f>
        <v>-8.5168081882558214E-2</v>
      </c>
      <c r="AQ12" s="13">
        <f>Q12/M80EV</f>
        <v>-8.5168081882558214E-2</v>
      </c>
      <c r="AR12" s="13">
        <f>P12/M80PF</f>
        <v>8.650733823421998E-2</v>
      </c>
      <c r="AS12" s="13">
        <f>(AC12-MIN(I12:J12))/M240FT</f>
        <v>0.1060517245021716</v>
      </c>
      <c r="AT12" s="13"/>
      <c r="AU12" s="13">
        <f t="shared" si="6"/>
        <v>0.12352414500819807</v>
      </c>
      <c r="AV12" s="13">
        <f t="shared" si="7"/>
        <v>0.1060517245021716</v>
      </c>
    </row>
    <row r="13" spans="1:48" x14ac:dyDescent="0.25">
      <c r="A13" t="s">
        <v>133</v>
      </c>
      <c r="B13">
        <v>240100</v>
      </c>
      <c r="C13" s="13">
        <f>F4P1!$E$48</f>
        <v>4.6196385156249997</v>
      </c>
      <c r="D13" s="13">
        <f>F4P2!$E$49</f>
        <v>0.39465340412013544</v>
      </c>
      <c r="E13" s="13"/>
      <c r="F13" s="13">
        <f>F4P2!$E$50</f>
        <v>4.4664314843749997</v>
      </c>
      <c r="G13" s="13">
        <f>F4P2!E$51</f>
        <v>-0.25530965412013545</v>
      </c>
      <c r="H13" s="13"/>
      <c r="I13" s="13">
        <f>ABS(F4P2!$E$53)</f>
        <v>0.51846491439691267</v>
      </c>
      <c r="J13" s="13">
        <f>ABS(F4P2!$E$54)</f>
        <v>0.87363260903368012</v>
      </c>
      <c r="K13" s="13"/>
      <c r="L13" s="13">
        <f>(MAX(PFAE:PFBE))^2/2*LLFT+(MAX(PFAE:PFBE)*OLF*LLUB*B/2)</f>
        <v>0</v>
      </c>
      <c r="M13" s="13"/>
      <c r="N13" s="13">
        <f t="shared" si="0"/>
        <v>-0.92714999999999992</v>
      </c>
      <c r="O13" s="13"/>
      <c r="P13" s="13">
        <f t="shared" si="8"/>
        <v>0.87363260903368012</v>
      </c>
      <c r="Q13" s="13">
        <f t="shared" si="9"/>
        <v>-5.35173909663198E-2</v>
      </c>
      <c r="R13" s="13"/>
      <c r="S13" s="13"/>
      <c r="U13" s="62">
        <f>F4P2!$E$57</f>
        <v>1.7302256846763799</v>
      </c>
      <c r="V13" s="13">
        <f t="shared" si="1"/>
        <v>0.16478339854060761</v>
      </c>
      <c r="W13" s="62"/>
      <c r="X13" s="60">
        <f>F4P2!$E$60</f>
        <v>3.7121547414062959</v>
      </c>
      <c r="Y13" s="13">
        <f t="shared" si="2"/>
        <v>0.1856077370703148</v>
      </c>
      <c r="Z13" s="62">
        <f t="shared" si="3"/>
        <v>0.30934622845052467</v>
      </c>
      <c r="AA13" s="62"/>
      <c r="AB13" s="62"/>
      <c r="AC13" s="80">
        <f>F4P2!$E$55</f>
        <v>4.4521742999999994</v>
      </c>
      <c r="AD13" s="79">
        <f>AC13/M240FT</f>
        <v>0.11038107499817772</v>
      </c>
      <c r="AE13" s="80">
        <f>F4P2!$E$58</f>
        <v>4.5694068967684025</v>
      </c>
      <c r="AF13" s="13">
        <f t="shared" si="4"/>
        <v>0.22847034483842013</v>
      </c>
      <c r="AG13" s="62">
        <f t="shared" si="5"/>
        <v>0.38078390806403356</v>
      </c>
      <c r="AH13" s="62"/>
      <c r="AI13" s="62"/>
      <c r="AJ13" s="13"/>
      <c r="AK13" s="13">
        <f>AK12</f>
        <v>1.2923464210444149E-2</v>
      </c>
      <c r="AL13" s="13">
        <f>AL12</f>
        <v>1.0769553508703457E-2</v>
      </c>
      <c r="AN13" s="13">
        <f>P13/M100EV</f>
        <v>0.11895868859391069</v>
      </c>
      <c r="AO13" s="13"/>
      <c r="AP13" s="13">
        <f>Q13/M100EV</f>
        <v>-7.2872264387690358E-3</v>
      </c>
      <c r="AQ13" s="13">
        <f>Q13/M100EV</f>
        <v>-7.2872264387690358E-3</v>
      </c>
      <c r="AR13" s="13">
        <f>P13/M100PF</f>
        <v>7.8747071345075248E-2</v>
      </c>
      <c r="AS13" s="13">
        <f>(AC13-MIN(I13:J13))/M240FT</f>
        <v>9.7526970297027671E-2</v>
      </c>
      <c r="AT13" s="13"/>
      <c r="AU13" s="13">
        <f t="shared" si="6"/>
        <v>0.11895868859391069</v>
      </c>
      <c r="AV13" s="13">
        <f t="shared" si="7"/>
        <v>9.7526970297027671E-2</v>
      </c>
    </row>
    <row r="14" spans="1:48" x14ac:dyDescent="0.25">
      <c r="A14" t="s">
        <v>134</v>
      </c>
      <c r="B14">
        <v>205100.5</v>
      </c>
      <c r="C14" s="13">
        <f>F3P2FL!$E$48</f>
        <v>4.6196385156249997</v>
      </c>
      <c r="D14" s="13">
        <f>F3P2FL!$E$49</f>
        <v>0.87809158939363585</v>
      </c>
      <c r="E14" s="13"/>
      <c r="F14" s="13">
        <f>F3P2FL!$E$50</f>
        <v>4.4664314843749997</v>
      </c>
      <c r="G14" s="13">
        <f>F3P2FL!E$51</f>
        <v>-0.73874783939363575</v>
      </c>
      <c r="H14" s="13"/>
      <c r="I14" s="13">
        <f>ABS(F3P2FL!$E$53)</f>
        <v>1.5658840312604765</v>
      </c>
      <c r="J14" s="13">
        <f>ABS(F3P2FL!$E$54)</f>
        <v>1.9137000036023837</v>
      </c>
      <c r="K14" s="13"/>
      <c r="L14" s="13">
        <f>(MAX(PFAE:PFBE))^2/2*LLFT+(MAX(PFAE:PFBE)*OLF*LLUB*B/2)</f>
        <v>0</v>
      </c>
      <c r="M14" s="13"/>
      <c r="N14" s="13">
        <f>-(MSTSP^2*LLFT/10)</f>
        <v>-0.92714999999999992</v>
      </c>
      <c r="O14" s="13"/>
      <c r="P14" s="13">
        <f t="shared" ref="P14:P15" si="10">MAX(I14:J14)+L14</f>
        <v>1.9137000036023837</v>
      </c>
      <c r="Q14" s="13">
        <f t="shared" ref="Q14:Q15" si="11">P14+N14</f>
        <v>0.98655000360238376</v>
      </c>
      <c r="R14" s="13"/>
      <c r="S14" s="13"/>
      <c r="U14" s="62">
        <f>F3P2FL!$E$57</f>
        <v>0.92110553758747105</v>
      </c>
      <c r="V14" s="13">
        <f>U14/(H*1000)*200</f>
        <v>8.7724336913092477E-2</v>
      </c>
      <c r="W14" s="62"/>
      <c r="X14" s="62">
        <f>F3P2FL!$E$60</f>
        <v>4.5661529335387465</v>
      </c>
      <c r="Y14" s="13">
        <f>X14/(((L-PFAE-PFBE)*1000)/200)</f>
        <v>0.22830764667693731</v>
      </c>
      <c r="Z14" s="62">
        <f>X14/femx</f>
        <v>0.38051274446156219</v>
      </c>
      <c r="AA14" s="62"/>
      <c r="AB14" s="62"/>
      <c r="AC14" s="80">
        <f>F3P2FL!$E$55</f>
        <v>4.4521742999999994</v>
      </c>
      <c r="AD14" s="79">
        <f>AC14/M130TF</f>
        <v>0.45941330100092859</v>
      </c>
      <c r="AE14" s="80">
        <f>F3P2FL!$E$58</f>
        <v>8.5979967130349451</v>
      </c>
      <c r="AF14" s="13">
        <f t="shared" si="4"/>
        <v>0.42989983565174728</v>
      </c>
      <c r="AG14" s="62">
        <f>AE14/femx</f>
        <v>0.71649972608624546</v>
      </c>
      <c r="AH14" s="62"/>
      <c r="AI14" s="62"/>
      <c r="AJ14" s="62"/>
      <c r="AK14" s="13">
        <f>AK11</f>
        <v>2.4185912701043973E-2</v>
      </c>
      <c r="AL14" s="13">
        <f>AL11</f>
        <v>2.0154927250869977E-2</v>
      </c>
      <c r="AN14" s="13">
        <f>P14/M100EV</f>
        <v>0.26058006584999777</v>
      </c>
      <c r="AO14" s="13"/>
      <c r="AP14" s="13">
        <f>Q14/M100EV</f>
        <v>0.13433415081731803</v>
      </c>
      <c r="AQ14" s="13">
        <f>Q14/M100EV</f>
        <v>0.13433415081731803</v>
      </c>
      <c r="AR14" s="13">
        <f>P14/M100PF</f>
        <v>0.17249616046662242</v>
      </c>
      <c r="AS14" s="13">
        <f>(AC14-MIN(I14:J14))/M205FT</f>
        <v>0.12206912447005179</v>
      </c>
      <c r="AT14" s="13"/>
      <c r="AU14" s="13">
        <f>MAX(AN14:AS14)</f>
        <v>0.26058006584999777</v>
      </c>
      <c r="AV14" s="13">
        <f>MAX(AP14:AT14)</f>
        <v>0.17249616046662242</v>
      </c>
    </row>
    <row r="15" spans="1:48" x14ac:dyDescent="0.25">
      <c r="A15" t="s">
        <v>135</v>
      </c>
      <c r="B15">
        <v>240100.5</v>
      </c>
      <c r="C15" s="13">
        <f>F4P2FL!$E$48</f>
        <v>4.6196385156249997</v>
      </c>
      <c r="D15" s="13">
        <f>F4P2FL!$E$49</f>
        <v>0.66228524271046751</v>
      </c>
      <c r="E15" s="13"/>
      <c r="F15" s="13">
        <f>F4P2FL!$E$50</f>
        <v>4.4664314843749997</v>
      </c>
      <c r="G15" s="13">
        <f>F4P2FL!E$51</f>
        <v>-0.52294149271046764</v>
      </c>
      <c r="H15" s="13"/>
      <c r="I15" s="13">
        <f>ABS(F4P2FL!$E$53)</f>
        <v>1.1014383389792495</v>
      </c>
      <c r="J15" s="13">
        <f>ABS(F4P2FL!$E$54)</f>
        <v>1.4479704163939031</v>
      </c>
      <c r="K15" s="13"/>
      <c r="L15" s="13">
        <f>(MAX(PFAE:PFBE))^2/2*LLFT+(MAX(PFAE:PFBE)*OLF*LLUB*B/2)</f>
        <v>0</v>
      </c>
      <c r="M15" s="13"/>
      <c r="N15" s="13">
        <f>-(MSTSP^2*LLFT/10)</f>
        <v>-0.92714999999999992</v>
      </c>
      <c r="O15" s="13"/>
      <c r="P15" s="13">
        <f t="shared" si="10"/>
        <v>1.4479704163939031</v>
      </c>
      <c r="Q15" s="13">
        <f t="shared" si="11"/>
        <v>0.5208204163939032</v>
      </c>
      <c r="R15" s="13"/>
      <c r="S15" s="13"/>
      <c r="U15" s="62">
        <f>F4P2FL!$E$57</f>
        <v>0.77980187965245773</v>
      </c>
      <c r="V15" s="13">
        <f>U15/(H*1000)*200</f>
        <v>7.4266845681186452E-2</v>
      </c>
      <c r="W15" s="62"/>
      <c r="X15" s="62">
        <f>F4P2FL!$E$60</f>
        <v>2.999483731430896</v>
      </c>
      <c r="Y15" s="13">
        <f>X15/(((L-PFAE-PFBE)*1000)/200)</f>
        <v>0.14997418657154479</v>
      </c>
      <c r="Z15" s="62">
        <f>X15/femx</f>
        <v>0.24995697761924132</v>
      </c>
      <c r="AA15" s="62"/>
      <c r="AB15" s="62"/>
      <c r="AC15" s="80">
        <f>F4P2FL!$E$55</f>
        <v>4.4521742999999994</v>
      </c>
      <c r="AD15" s="79">
        <f>AC15/M130TF</f>
        <v>0.45941330100092859</v>
      </c>
      <c r="AE15" s="80">
        <f>F4P2FL!$E$58</f>
        <v>4.5694068967684025</v>
      </c>
      <c r="AF15" s="13">
        <f t="shared" si="4"/>
        <v>0.22847034483842013</v>
      </c>
      <c r="AG15" s="62">
        <f>AE15/femx</f>
        <v>0.38078390806403356</v>
      </c>
      <c r="AH15" s="62"/>
      <c r="AI15" s="62"/>
      <c r="AJ15" s="62"/>
      <c r="AK15" s="13">
        <f>AK12</f>
        <v>1.2923464210444149E-2</v>
      </c>
      <c r="AL15" s="13">
        <f>AL12</f>
        <v>1.0769553508703457E-2</v>
      </c>
      <c r="AN15" s="13">
        <f>P15/M100EV</f>
        <v>0.19716372772248136</v>
      </c>
      <c r="AO15" s="13"/>
      <c r="AP15" s="13">
        <f>Q15/M100EV</f>
        <v>7.0917812689801629E-2</v>
      </c>
      <c r="AQ15" s="13">
        <f>Q15/M100EV</f>
        <v>7.0917812689801629E-2</v>
      </c>
      <c r="AR15" s="13">
        <f>P15/M100PF</f>
        <v>0.1305164533767228</v>
      </c>
      <c r="AS15" s="13">
        <f>(AC15-MIN(I15:J15))/M240FT</f>
        <v>8.3073530479820287E-2</v>
      </c>
      <c r="AT15" s="13"/>
      <c r="AU15" s="13">
        <f>MAX(AN15:AS15)</f>
        <v>0.19716372772248136</v>
      </c>
      <c r="AV15" s="13">
        <f>MAX(AP15:AT15)</f>
        <v>0.1305164533767228</v>
      </c>
    </row>
    <row r="18" spans="1:48" x14ac:dyDescent="0.25">
      <c r="A18" t="s">
        <v>136</v>
      </c>
      <c r="B18">
        <v>19080</v>
      </c>
      <c r="C18" s="13">
        <f>W1P1!$E$48</f>
        <v>4.6445213281249993</v>
      </c>
      <c r="D18" s="13">
        <f>W1P1!$E$49</f>
        <v>0.23686942267661254</v>
      </c>
      <c r="E18" s="13"/>
      <c r="F18" s="13">
        <f>W1P1!$E$50</f>
        <v>4.4415486718750001</v>
      </c>
      <c r="G18" s="13">
        <f>W1P1!E$51</f>
        <v>-9.7525672676612551E-2</v>
      </c>
      <c r="H18" s="13"/>
      <c r="I18" s="13">
        <f>ABS(W1P1!$E$53)</f>
        <v>0.19476745139423901</v>
      </c>
      <c r="J18" s="13">
        <f>ABS(W1P1!$E$54)</f>
        <v>0.73498183279591867</v>
      </c>
      <c r="K18" s="13"/>
      <c r="L18" s="13">
        <f>(MAX(PFAE:PFBE))^2/2*LLFT+(MAX(PFAE:PFBE)*OLF*LLUB*B/2)</f>
        <v>0</v>
      </c>
      <c r="M18" s="13"/>
      <c r="N18" s="13">
        <f>-(MSTWA^2*LLFT/10)</f>
        <v>-0.92714999999999992</v>
      </c>
      <c r="O18" s="13"/>
      <c r="P18" s="13">
        <f t="shared" ref="P18:P19" si="12">MAX(I18:J18)+L18</f>
        <v>0.73498183279591867</v>
      </c>
      <c r="Q18" s="13">
        <f t="shared" ref="Q18:Q19" si="13">P18+N18</f>
        <v>-0.19216816720408125</v>
      </c>
      <c r="R18" s="13"/>
      <c r="S18" s="13"/>
      <c r="U18" s="62">
        <f>F3P2FL!$E$57</f>
        <v>0.92110553758747105</v>
      </c>
      <c r="V18" s="13">
        <f>U18/(H*1000)*200</f>
        <v>8.7724336913092477E-2</v>
      </c>
      <c r="W18" s="62"/>
      <c r="X18" s="62">
        <f>F3P2FL!$E$60</f>
        <v>4.5661529335387465</v>
      </c>
      <c r="Y18" s="13">
        <f>X18/(((L-PFAE-PFBE)*1000)/200)</f>
        <v>0.22830764667693731</v>
      </c>
      <c r="Z18" s="62">
        <f>X18/femx</f>
        <v>0.38051274446156219</v>
      </c>
      <c r="AA18" s="62"/>
      <c r="AB18" s="62"/>
      <c r="AC18" s="80">
        <f>F3P2FL!$E$55</f>
        <v>4.4521742999999994</v>
      </c>
      <c r="AD18" s="79">
        <f>AC18/M130TF</f>
        <v>0.45941330100092859</v>
      </c>
      <c r="AE18" s="80">
        <f>F3P2FL!$E$58</f>
        <v>8.5979967130349451</v>
      </c>
      <c r="AF18" s="13">
        <f t="shared" ref="AF18:AF19" si="14">AE18/(((L-PFAE-PFBE)*1000)/200)</f>
        <v>0.42989983565174728</v>
      </c>
      <c r="AG18" s="62">
        <f>AE18/femx</f>
        <v>0.71649972608624546</v>
      </c>
      <c r="AH18" s="62"/>
      <c r="AI18" s="62"/>
      <c r="AJ18" s="62"/>
      <c r="AK18" s="13">
        <f>AK14</f>
        <v>2.4185912701043973E-2</v>
      </c>
      <c r="AL18" s="13">
        <f>AL14</f>
        <v>2.0154927250869977E-2</v>
      </c>
      <c r="AN18" s="13">
        <f>P18/M100EV</f>
        <v>0.1000792255985728</v>
      </c>
      <c r="AO18" s="13"/>
      <c r="AP18" s="13">
        <f>Q18/M100EV</f>
        <v>-2.6166689434106924E-2</v>
      </c>
      <c r="AQ18" s="13">
        <f>Q18/M100EV</f>
        <v>-2.6166689434106924E-2</v>
      </c>
      <c r="AR18" s="13">
        <f>P18/M100PF</f>
        <v>6.6249435089805686E-2</v>
      </c>
      <c r="AS18" s="13">
        <f>(AC18-MIN(I18:J18))/M205FT</f>
        <v>0.18005740176266669</v>
      </c>
      <c r="AT18" s="13"/>
      <c r="AU18" s="13">
        <f>MAX(AN18:AS18)</f>
        <v>0.18005740176266669</v>
      </c>
      <c r="AV18" s="13">
        <f>MAX(AP18:AT18)</f>
        <v>0.18005740176266669</v>
      </c>
    </row>
    <row r="19" spans="1:48" x14ac:dyDescent="0.25">
      <c r="A19" t="s">
        <v>137</v>
      </c>
      <c r="B19">
        <v>190100.5</v>
      </c>
      <c r="C19" s="13">
        <f>W1P2!$E$48</f>
        <v>4.6218630208333336</v>
      </c>
      <c r="D19" s="13">
        <f>W1P2!$E$49</f>
        <v>0.37243014327524726</v>
      </c>
      <c r="E19" s="13"/>
      <c r="F19" s="13">
        <f>W1P2!$E$50</f>
        <v>4.4178494791666667</v>
      </c>
      <c r="G19" s="13">
        <f>W1P2!E$51</f>
        <v>-0.23308639327524727</v>
      </c>
      <c r="H19" s="13"/>
      <c r="I19" s="13">
        <f>ABS(W1P2!$E$53)</f>
        <v>0.61147739077304708</v>
      </c>
      <c r="J19" s="13">
        <f>ABS(W1P2!$E$54)</f>
        <v>1.1001224480019578</v>
      </c>
      <c r="K19" s="13"/>
      <c r="L19" s="13">
        <f>(MAX(PFAE:PFBE))^2/2*LLFT+(MAX(PFAE:PFBE)*OLF*LLUB*B/2)</f>
        <v>0</v>
      </c>
      <c r="M19" s="13"/>
      <c r="N19" s="13">
        <f>-(MSTWA^2*LLFT/10)</f>
        <v>-0.92714999999999992</v>
      </c>
      <c r="O19" s="13"/>
      <c r="P19" s="13">
        <f t="shared" si="12"/>
        <v>1.1001224480019578</v>
      </c>
      <c r="Q19" s="13">
        <f t="shared" si="13"/>
        <v>0.17297244800195788</v>
      </c>
      <c r="R19" s="13"/>
      <c r="S19" s="13"/>
      <c r="U19" s="62">
        <f>F4P2FL!$E$57</f>
        <v>0.77980187965245773</v>
      </c>
      <c r="V19" s="13">
        <f>U19/(H*1000)*200</f>
        <v>7.4266845681186452E-2</v>
      </c>
      <c r="W19" s="62"/>
      <c r="X19" s="62">
        <f>F4P2FL!$E$60</f>
        <v>2.999483731430896</v>
      </c>
      <c r="Y19" s="13">
        <f>X19/(((L-PFAE-PFBE)*1000)/200)</f>
        <v>0.14997418657154479</v>
      </c>
      <c r="Z19" s="62">
        <f>X19/femx</f>
        <v>0.24995697761924132</v>
      </c>
      <c r="AA19" s="62"/>
      <c r="AB19" s="62"/>
      <c r="AC19" s="80">
        <f>F4P2FL!$E$55</f>
        <v>4.4521742999999994</v>
      </c>
      <c r="AD19" s="79">
        <f>AC19/M130TF</f>
        <v>0.45941330100092859</v>
      </c>
      <c r="AE19" s="80">
        <f>F4P2FL!$E$58</f>
        <v>4.5694068967684025</v>
      </c>
      <c r="AF19" s="13">
        <f t="shared" si="14"/>
        <v>0.22847034483842013</v>
      </c>
      <c r="AG19" s="62">
        <f>AE19/femx</f>
        <v>0.38078390806403356</v>
      </c>
      <c r="AH19" s="62"/>
      <c r="AI19" s="62"/>
      <c r="AJ19" s="62"/>
      <c r="AK19" s="13">
        <f>AK15</f>
        <v>1.2923464210444149E-2</v>
      </c>
      <c r="AL19" s="13">
        <f>AL15</f>
        <v>1.0769553508703457E-2</v>
      </c>
      <c r="AN19" s="13">
        <f>P19/M100EV</f>
        <v>0.14979880827913369</v>
      </c>
      <c r="AO19" s="13"/>
      <c r="AP19" s="13">
        <f>Q19/M100EV</f>
        <v>2.355289324645396E-2</v>
      </c>
      <c r="AQ19" s="13">
        <f>Q19/M100EV</f>
        <v>2.355289324645396E-2</v>
      </c>
      <c r="AR19" s="13">
        <f>P19/M100PF</f>
        <v>9.9162302328608717E-2</v>
      </c>
      <c r="AS19" s="13">
        <f>(AC19-MIN(I19:J19))/M240FT</f>
        <v>9.5220947118501098E-2</v>
      </c>
      <c r="AT19" s="13"/>
      <c r="AU19" s="13">
        <f>MAX(AN19:AS19)</f>
        <v>0.14979880827913369</v>
      </c>
      <c r="AV19" s="13">
        <f>MAX(AP19:AT19)</f>
        <v>9.9162302328608717E-2</v>
      </c>
    </row>
  </sheetData>
  <sheetProtection algorithmName="SHA-512" hashValue="vgFoxba8Nt2hQVt/BaGKtlL2dvFOOvoqhljHnSwJQcOmyLkcWrnQzd0II/ThNSqJ5t3sAVt2nBtbPiEIG5oSDg==" saltValue="MUmgNc5NNn/sldQFrN61Og==" spinCount="100000" sheet="1" objects="1" scenarios="1"/>
  <mergeCells count="6">
    <mergeCell ref="AN2:AU2"/>
    <mergeCell ref="C2:D2"/>
    <mergeCell ref="F2:G2"/>
    <mergeCell ref="I2:J2"/>
    <mergeCell ref="AD2:AE2"/>
    <mergeCell ref="P2:Q2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53D66-AEA8-4D35-ADE6-872DD078562F}">
  <sheetPr codeName="Tabelle6"/>
  <dimension ref="A1:AE33"/>
  <sheetViews>
    <sheetView zoomScaleNormal="100" workbookViewId="0">
      <selection activeCell="N26" sqref="N26"/>
    </sheetView>
  </sheetViews>
  <sheetFormatPr baseColWidth="10" defaultColWidth="11.42578125" defaultRowHeight="15" x14ac:dyDescent="0.25"/>
  <cols>
    <col min="1" max="1" width="13.140625" customWidth="1"/>
    <col min="2" max="4" width="19.42578125" customWidth="1"/>
    <col min="5" max="5" width="13.85546875" customWidth="1"/>
    <col min="6" max="8" width="13" customWidth="1"/>
    <col min="9" max="11" width="12.5703125" customWidth="1"/>
    <col min="12" max="14" width="9" customWidth="1"/>
    <col min="15" max="15" width="13" customWidth="1"/>
    <col min="16" max="18" width="12.42578125" customWidth="1"/>
    <col min="19" max="19" width="6.140625" customWidth="1"/>
    <col min="20" max="21" width="12.42578125" customWidth="1"/>
    <col min="22" max="23" width="8.5703125" customWidth="1"/>
    <col min="24" max="24" width="12.42578125" customWidth="1"/>
    <col min="25" max="30" width="13.7109375" customWidth="1"/>
    <col min="31" max="31" width="13.7109375" hidden="1" customWidth="1"/>
    <col min="32" max="33" width="13.7109375" customWidth="1"/>
  </cols>
  <sheetData>
    <row r="1" spans="1:20" ht="22.5" customHeight="1" x14ac:dyDescent="0.25"/>
    <row r="2" spans="1:20" ht="22.5" customHeight="1" x14ac:dyDescent="0.25">
      <c r="A2" t="s">
        <v>138</v>
      </c>
      <c r="B2" s="59" t="s">
        <v>56</v>
      </c>
      <c r="C2" s="59"/>
      <c r="D2" s="59"/>
      <c r="E2" s="59" t="s">
        <v>68</v>
      </c>
      <c r="F2" s="59" t="s">
        <v>69</v>
      </c>
      <c r="G2" s="59" t="s">
        <v>67</v>
      </c>
      <c r="I2" s="59" t="s">
        <v>68</v>
      </c>
      <c r="J2" s="59" t="s">
        <v>69</v>
      </c>
      <c r="K2" s="59" t="s">
        <v>67</v>
      </c>
      <c r="M2" s="59" t="s">
        <v>68</v>
      </c>
      <c r="N2" s="59" t="s">
        <v>69</v>
      </c>
      <c r="O2" s="59" t="s">
        <v>67</v>
      </c>
      <c r="Q2" s="63" t="s">
        <v>138</v>
      </c>
      <c r="R2" s="63" t="s">
        <v>139</v>
      </c>
    </row>
    <row r="3" spans="1:20" ht="27" customHeight="1" x14ac:dyDescent="0.25">
      <c r="E3" s="161" t="s">
        <v>73</v>
      </c>
      <c r="F3" s="161" t="s">
        <v>74</v>
      </c>
      <c r="G3" s="161" t="s">
        <v>72</v>
      </c>
      <c r="I3" s="161" t="s">
        <v>73</v>
      </c>
      <c r="J3" s="161" t="s">
        <v>74</v>
      </c>
      <c r="K3" s="161" t="s">
        <v>72</v>
      </c>
      <c r="M3" s="161" t="s">
        <v>73</v>
      </c>
      <c r="N3" s="161" t="s">
        <v>74</v>
      </c>
      <c r="O3" s="161" t="s">
        <v>72</v>
      </c>
      <c r="Q3" s="64" t="s">
        <v>71</v>
      </c>
      <c r="R3" s="64" t="s">
        <v>140</v>
      </c>
    </row>
    <row r="4" spans="1:20" ht="20.25" customHeight="1" x14ac:dyDescent="0.25">
      <c r="A4" s="62">
        <f t="shared" ref="A4:A9" si="0">LSP*1000/Q4</f>
        <v>134.07835575207517</v>
      </c>
      <c r="B4" s="161">
        <v>95</v>
      </c>
      <c r="C4" s="163">
        <f t="shared" ref="C4:C9" si="1">D4/imax</f>
        <v>7.7009033752036299E-2</v>
      </c>
      <c r="D4" s="162">
        <f>E4+(I4+M4*2)*3</f>
        <v>1086800</v>
      </c>
      <c r="E4" s="161">
        <f>PROFILE!E26</f>
        <v>1086800</v>
      </c>
      <c r="F4" s="161">
        <v>19834</v>
      </c>
      <c r="G4" s="161">
        <v>980</v>
      </c>
      <c r="I4" s="161"/>
      <c r="J4" s="161"/>
      <c r="K4" s="161"/>
      <c r="M4" s="161"/>
      <c r="N4" s="161"/>
      <c r="O4" s="161"/>
      <c r="Q4" s="65">
        <f t="shared" ref="Q4:Q9" si="2">LLSP*(LSP*1000)^2/(384)/(E4*70000+((I4+M4)*210000))*(5*(LSP*1000)^2-12*(DAUE*1000)^2)</f>
        <v>25.744082163494394</v>
      </c>
      <c r="R4" s="66">
        <f t="shared" ref="R4:R9" si="3">LLSP*(LSP*1000)^2/8/F4</f>
        <v>79.563490975093259</v>
      </c>
      <c r="T4" s="14">
        <f t="shared" ref="T4:T9" si="4">200/((LSP*1000)/Q4)</f>
        <v>1.4916650706085688</v>
      </c>
    </row>
    <row r="5" spans="1:20" ht="18.75" customHeight="1" x14ac:dyDescent="0.25">
      <c r="A5" s="62">
        <f t="shared" si="0"/>
        <v>323.57444926991423</v>
      </c>
      <c r="B5" s="161" t="s">
        <v>282</v>
      </c>
      <c r="C5" s="163">
        <f t="shared" si="1"/>
        <v>0.18584771229742436</v>
      </c>
      <c r="D5" s="162">
        <f t="shared" ref="D5:D31" si="5">E5+(I5+M5*2)*3</f>
        <v>2622800</v>
      </c>
      <c r="E5" s="161">
        <f>PROFILE!E26</f>
        <v>1086800</v>
      </c>
      <c r="F5" s="161">
        <v>19834</v>
      </c>
      <c r="G5" s="161">
        <v>980</v>
      </c>
      <c r="I5" s="161">
        <v>512000</v>
      </c>
      <c r="J5" s="161">
        <v>12800</v>
      </c>
      <c r="K5" s="161">
        <v>9600</v>
      </c>
      <c r="M5" s="161"/>
      <c r="N5" s="161"/>
      <c r="O5" s="161"/>
      <c r="Q5" s="65">
        <f t="shared" si="2"/>
        <v>10.667480743970453</v>
      </c>
      <c r="R5" s="66">
        <f t="shared" si="3"/>
        <v>79.563490975093259</v>
      </c>
      <c r="T5" s="14">
        <f t="shared" si="4"/>
        <v>0.61809577502569479</v>
      </c>
    </row>
    <row r="6" spans="1:20" ht="22.5" customHeight="1" x14ac:dyDescent="0.25">
      <c r="A6" s="62">
        <f t="shared" si="0"/>
        <v>312.58096170912341</v>
      </c>
      <c r="B6" s="161" t="s">
        <v>260</v>
      </c>
      <c r="C6" s="163">
        <f t="shared" si="1"/>
        <v>0.17953351005446894</v>
      </c>
      <c r="D6" s="162">
        <f t="shared" si="5"/>
        <v>2533690</v>
      </c>
      <c r="E6" s="161">
        <f>PROFILE!E27</f>
        <v>2533690</v>
      </c>
      <c r="F6" s="161">
        <v>32259</v>
      </c>
      <c r="G6" s="161">
        <v>1180</v>
      </c>
      <c r="I6" s="161"/>
      <c r="J6" s="161"/>
      <c r="K6" s="161"/>
      <c r="M6" s="161"/>
      <c r="N6" s="161"/>
      <c r="O6" s="161"/>
      <c r="Q6" s="65">
        <f t="shared" si="2"/>
        <v>11.042656558334171</v>
      </c>
      <c r="R6" s="66">
        <f t="shared" si="3"/>
        <v>48.918512043150741</v>
      </c>
      <c r="T6" s="14">
        <f t="shared" si="4"/>
        <v>0.63983423336611522</v>
      </c>
    </row>
    <row r="7" spans="1:20" ht="19.5" customHeight="1" x14ac:dyDescent="0.25">
      <c r="A7" s="62">
        <f t="shared" si="0"/>
        <v>949.17063456913957</v>
      </c>
      <c r="B7" s="161" t="s">
        <v>283</v>
      </c>
      <c r="C7" s="163">
        <f t="shared" si="1"/>
        <v>0.54516415437802879</v>
      </c>
      <c r="D7" s="162">
        <f t="shared" si="5"/>
        <v>7693700</v>
      </c>
      <c r="E7" s="161">
        <v>2533700</v>
      </c>
      <c r="F7" s="161">
        <v>32259</v>
      </c>
      <c r="G7" s="161">
        <v>1180</v>
      </c>
      <c r="I7" s="161">
        <v>1720000</v>
      </c>
      <c r="J7" s="161">
        <v>28800</v>
      </c>
      <c r="K7" s="161">
        <v>14400</v>
      </c>
      <c r="M7" s="161"/>
      <c r="N7" s="161"/>
      <c r="O7" s="161"/>
      <c r="Q7" s="65">
        <f t="shared" si="2"/>
        <v>3.6365686854550741</v>
      </c>
      <c r="R7" s="66">
        <f t="shared" si="3"/>
        <v>48.918512043150741</v>
      </c>
      <c r="T7" s="14">
        <f t="shared" si="4"/>
        <v>0.21071026927712183</v>
      </c>
    </row>
    <row r="8" spans="1:20" ht="19.5" customHeight="1" x14ac:dyDescent="0.25">
      <c r="A8" s="62">
        <f t="shared" si="0"/>
        <v>530.81482868011699</v>
      </c>
      <c r="B8" s="161" t="s">
        <v>141</v>
      </c>
      <c r="C8" s="163">
        <f t="shared" si="1"/>
        <v>0.30487797100894731</v>
      </c>
      <c r="D8" s="162">
        <f t="shared" si="5"/>
        <v>4302630</v>
      </c>
      <c r="E8" s="161">
        <v>4302630</v>
      </c>
      <c r="F8" s="161">
        <v>58944</v>
      </c>
      <c r="G8" s="161">
        <v>1571</v>
      </c>
      <c r="I8" s="161"/>
      <c r="J8" s="161"/>
      <c r="K8" s="161"/>
      <c r="M8" s="161"/>
      <c r="N8" s="161"/>
      <c r="O8" s="161"/>
      <c r="Q8" s="65">
        <f t="shared" si="2"/>
        <v>6.5026898653348546</v>
      </c>
      <c r="R8" s="66">
        <f t="shared" si="3"/>
        <v>26.772229234527686</v>
      </c>
      <c r="T8" s="14">
        <f t="shared" si="4"/>
        <v>0.37677922543592934</v>
      </c>
    </row>
    <row r="9" spans="1:20" ht="19.5" customHeight="1" x14ac:dyDescent="0.25">
      <c r="A9" s="62">
        <f t="shared" si="0"/>
        <v>1741.0730822022531</v>
      </c>
      <c r="B9" s="161" t="s">
        <v>284</v>
      </c>
      <c r="C9" s="163">
        <f t="shared" si="1"/>
        <v>1</v>
      </c>
      <c r="D9" s="162">
        <f t="shared" si="5"/>
        <v>14112630</v>
      </c>
      <c r="E9" s="161">
        <v>4302630</v>
      </c>
      <c r="F9" s="161">
        <v>58944</v>
      </c>
      <c r="G9" s="161">
        <v>1571</v>
      </c>
      <c r="I9" s="161">
        <v>3270000</v>
      </c>
      <c r="J9" s="161">
        <v>54211</v>
      </c>
      <c r="K9" s="161">
        <v>14800</v>
      </c>
      <c r="M9" s="161"/>
      <c r="N9" s="161"/>
      <c r="O9" s="161"/>
      <c r="Q9" s="65">
        <f t="shared" si="2"/>
        <v>1.9825268922437351</v>
      </c>
      <c r="R9" s="66">
        <f t="shared" si="3"/>
        <v>26.772229234527686</v>
      </c>
      <c r="T9" s="14">
        <f t="shared" si="4"/>
        <v>0.11487168576922886</v>
      </c>
    </row>
    <row r="10" spans="1:20" ht="19.5" customHeight="1" x14ac:dyDescent="0.25">
      <c r="A10" s="62"/>
      <c r="B10" s="161"/>
      <c r="C10" s="162"/>
      <c r="D10" s="162"/>
      <c r="E10" s="161"/>
      <c r="F10" s="161"/>
      <c r="G10" s="161"/>
      <c r="I10" s="161"/>
      <c r="J10" s="161"/>
      <c r="K10" s="161"/>
      <c r="M10" s="161"/>
      <c r="N10" s="161"/>
      <c r="O10" s="161"/>
      <c r="Q10" s="65"/>
      <c r="R10" s="66"/>
      <c r="T10" s="14"/>
    </row>
    <row r="11" spans="1:20" ht="19.5" customHeight="1" x14ac:dyDescent="0.25">
      <c r="A11" s="62"/>
      <c r="B11" s="161"/>
      <c r="C11" s="162"/>
      <c r="D11" s="162"/>
      <c r="E11" s="161"/>
      <c r="F11" s="161"/>
      <c r="G11" s="161"/>
      <c r="I11" s="161"/>
      <c r="J11" s="161"/>
      <c r="K11" s="161"/>
      <c r="M11" s="161"/>
      <c r="N11" s="161"/>
      <c r="O11" s="161"/>
      <c r="Q11" s="65"/>
      <c r="R11" s="66"/>
      <c r="T11" s="14"/>
    </row>
    <row r="12" spans="1:20" ht="19.5" customHeight="1" x14ac:dyDescent="0.25">
      <c r="A12" s="62"/>
      <c r="B12" s="161"/>
      <c r="C12" s="162"/>
      <c r="D12" s="162"/>
      <c r="E12" s="161"/>
      <c r="F12" s="161"/>
      <c r="G12" s="161"/>
      <c r="I12" s="161"/>
      <c r="J12" s="161"/>
      <c r="K12" s="161"/>
      <c r="M12" s="161"/>
      <c r="N12" s="161"/>
      <c r="O12" s="161"/>
      <c r="Q12" s="65"/>
      <c r="R12" s="66"/>
      <c r="T12" s="14"/>
    </row>
    <row r="13" spans="1:20" ht="19.5" hidden="1" customHeight="1" x14ac:dyDescent="0.25">
      <c r="A13" s="62">
        <f t="shared" ref="A13:A18" si="6">LSP*1000/Q13</f>
        <v>1.2336985255067642E-4</v>
      </c>
      <c r="B13" s="161" t="s">
        <v>142</v>
      </c>
      <c r="C13" s="162"/>
      <c r="D13" s="162">
        <f t="shared" si="5"/>
        <v>1</v>
      </c>
      <c r="E13" s="161">
        <v>1</v>
      </c>
      <c r="F13" s="161">
        <v>39455</v>
      </c>
      <c r="G13" s="161">
        <v>1432</v>
      </c>
      <c r="I13" s="161"/>
      <c r="J13" s="161"/>
      <c r="K13" s="161"/>
      <c r="M13" s="161"/>
      <c r="N13" s="161"/>
      <c r="O13" s="161"/>
      <c r="Q13" s="65">
        <f t="shared" ref="Q13:Q18" si="7">(5*(LLSP/LDF)*(LSP*1000)^4)/(384)/(E13*70000+((I13+M13)*210000))</f>
        <v>27978668.495285712</v>
      </c>
      <c r="R13" s="66">
        <f t="shared" ref="R13:R18" si="8">LLSP*(LSP*1000)^2/8/F13</f>
        <v>39.996509441135466</v>
      </c>
      <c r="T13" s="14">
        <f t="shared" ref="T13:T18" si="9">200/((LSP*1000)/Q13)</f>
        <v>1621141.5987373928</v>
      </c>
    </row>
    <row r="14" spans="1:20" ht="19.5" hidden="1" customHeight="1" x14ac:dyDescent="0.25">
      <c r="A14" s="62">
        <f t="shared" si="6"/>
        <v>1.2336985255067642E-4</v>
      </c>
      <c r="B14" s="161" t="s">
        <v>143</v>
      </c>
      <c r="C14" s="162"/>
      <c r="D14" s="162">
        <f t="shared" si="5"/>
        <v>1</v>
      </c>
      <c r="E14" s="161">
        <v>1</v>
      </c>
      <c r="F14" s="161">
        <v>39455</v>
      </c>
      <c r="G14" s="161">
        <v>1432</v>
      </c>
      <c r="I14" s="161">
        <v>0</v>
      </c>
      <c r="J14" s="161">
        <v>0</v>
      </c>
      <c r="K14" s="161">
        <v>0</v>
      </c>
      <c r="M14" s="161"/>
      <c r="N14" s="161"/>
      <c r="O14" s="161"/>
      <c r="Q14" s="65">
        <f t="shared" si="7"/>
        <v>27978668.495285712</v>
      </c>
      <c r="R14" s="66">
        <f t="shared" si="8"/>
        <v>39.996509441135466</v>
      </c>
      <c r="T14" s="14">
        <f t="shared" si="9"/>
        <v>1621141.5987373928</v>
      </c>
    </row>
    <row r="15" spans="1:20" ht="19.5" hidden="1" customHeight="1" x14ac:dyDescent="0.25">
      <c r="A15" s="62">
        <f t="shared" si="6"/>
        <v>1.2336985255067642E-4</v>
      </c>
      <c r="B15" s="161" t="s">
        <v>144</v>
      </c>
      <c r="C15" s="162"/>
      <c r="D15" s="162">
        <f t="shared" si="5"/>
        <v>1</v>
      </c>
      <c r="E15" s="161">
        <v>1</v>
      </c>
      <c r="F15" s="161">
        <v>39455</v>
      </c>
      <c r="G15" s="161">
        <v>1432</v>
      </c>
      <c r="I15" s="161">
        <v>0</v>
      </c>
      <c r="J15" s="161">
        <v>0</v>
      </c>
      <c r="K15" s="161">
        <v>0</v>
      </c>
      <c r="M15" s="161">
        <v>0</v>
      </c>
      <c r="N15" s="161">
        <v>0</v>
      </c>
      <c r="O15" s="161">
        <v>0</v>
      </c>
      <c r="Q15" s="65">
        <f t="shared" si="7"/>
        <v>27978668.495285712</v>
      </c>
      <c r="R15" s="66">
        <f t="shared" si="8"/>
        <v>39.996509441135466</v>
      </c>
      <c r="T15" s="14">
        <f t="shared" si="9"/>
        <v>1621141.5987373928</v>
      </c>
    </row>
    <row r="16" spans="1:20" ht="19.5" customHeight="1" x14ac:dyDescent="0.25">
      <c r="A16" s="62">
        <f t="shared" si="6"/>
        <v>623.95906735587766</v>
      </c>
      <c r="B16" s="161" t="s">
        <v>145</v>
      </c>
      <c r="C16" s="163">
        <f>D16/imax</f>
        <v>0.35837614959082753</v>
      </c>
      <c r="D16" s="162">
        <f t="shared" si="5"/>
        <v>5057630</v>
      </c>
      <c r="E16" s="161">
        <v>5057630</v>
      </c>
      <c r="F16" s="161">
        <v>53065</v>
      </c>
      <c r="G16" s="161">
        <v>1809</v>
      </c>
      <c r="I16" s="161"/>
      <c r="J16" s="161"/>
      <c r="K16" s="161"/>
      <c r="M16" s="161"/>
      <c r="N16" s="161"/>
      <c r="O16" s="161"/>
      <c r="Q16" s="65">
        <f t="shared" si="7"/>
        <v>5.5319721876226042</v>
      </c>
      <c r="R16" s="66">
        <f t="shared" si="8"/>
        <v>29.738288514086495</v>
      </c>
      <c r="T16" s="14">
        <f t="shared" si="9"/>
        <v>0.32053384663120726</v>
      </c>
    </row>
    <row r="17" spans="1:25" ht="19.5" customHeight="1" x14ac:dyDescent="0.25">
      <c r="A17" s="62">
        <f t="shared" si="6"/>
        <v>812.71494175841258</v>
      </c>
      <c r="B17" s="161" t="s">
        <v>285</v>
      </c>
      <c r="C17" s="163">
        <f>D17/imax</f>
        <v>0.46678967704814767</v>
      </c>
      <c r="D17" s="162">
        <f t="shared" si="5"/>
        <v>6587630</v>
      </c>
      <c r="E17" s="161">
        <v>5051630</v>
      </c>
      <c r="F17" s="161">
        <v>53065</v>
      </c>
      <c r="G17" s="161">
        <v>1809</v>
      </c>
      <c r="I17" s="161">
        <v>512000</v>
      </c>
      <c r="J17" s="161">
        <v>12800</v>
      </c>
      <c r="K17" s="161">
        <v>960</v>
      </c>
      <c r="M17" s="161"/>
      <c r="N17" s="161"/>
      <c r="O17" s="161"/>
      <c r="Q17" s="65">
        <f t="shared" si="7"/>
        <v>4.2471523894459331</v>
      </c>
      <c r="R17" s="66">
        <f t="shared" si="8"/>
        <v>29.738288514086495</v>
      </c>
      <c r="T17" s="14">
        <f t="shared" si="9"/>
        <v>0.24608874492608004</v>
      </c>
    </row>
    <row r="18" spans="1:25" ht="19.5" customHeight="1" x14ac:dyDescent="0.25">
      <c r="A18" s="62">
        <f t="shared" si="6"/>
        <v>945.95438251314306</v>
      </c>
      <c r="B18" s="161" t="s">
        <v>286</v>
      </c>
      <c r="C18" s="163">
        <f>D18/imax</f>
        <v>0.61984406875259968</v>
      </c>
      <c r="D18" s="162">
        <f t="shared" si="5"/>
        <v>8747630</v>
      </c>
      <c r="E18" s="161">
        <v>5051630</v>
      </c>
      <c r="F18" s="161">
        <v>53065</v>
      </c>
      <c r="G18" s="161">
        <v>1809</v>
      </c>
      <c r="I18" s="161">
        <v>512000</v>
      </c>
      <c r="J18" s="161">
        <v>12800</v>
      </c>
      <c r="K18" s="161">
        <v>960</v>
      </c>
      <c r="M18" s="161">
        <v>360000</v>
      </c>
      <c r="N18" s="161">
        <v>10000</v>
      </c>
      <c r="O18" s="161">
        <v>1200</v>
      </c>
      <c r="Q18" s="65">
        <f t="shared" si="7"/>
        <v>3.6489330464935987</v>
      </c>
      <c r="R18" s="66">
        <f t="shared" si="8"/>
        <v>29.738288514086495</v>
      </c>
      <c r="T18" s="14">
        <f t="shared" si="9"/>
        <v>0.21142668578653284</v>
      </c>
    </row>
    <row r="19" spans="1:25" ht="19.5" customHeight="1" x14ac:dyDescent="0.25">
      <c r="D19" s="162"/>
    </row>
    <row r="20" spans="1:25" ht="19.149999999999999" customHeight="1" x14ac:dyDescent="0.25">
      <c r="B20" s="162" t="s">
        <v>24</v>
      </c>
      <c r="D20" s="162"/>
    </row>
    <row r="21" spans="1:25" ht="20.25" customHeight="1" x14ac:dyDescent="0.25">
      <c r="A21" s="62">
        <f t="shared" ref="A21:A26" si="10">LSP*1000/Q21</f>
        <v>234.19052369989811</v>
      </c>
      <c r="B21" s="161">
        <v>95</v>
      </c>
      <c r="C21" s="163">
        <f t="shared" ref="C21:C26" si="11">D21/imax</f>
        <v>6.7254650621464601E-2</v>
      </c>
      <c r="D21" s="162">
        <f t="shared" si="5"/>
        <v>949140</v>
      </c>
      <c r="E21" s="161">
        <f>PROFILE!E31</f>
        <v>949140</v>
      </c>
      <c r="F21" s="161">
        <f>PROFILE!F31</f>
        <v>18551</v>
      </c>
      <c r="G21" s="161">
        <f>PROFILE!D31</f>
        <v>8651</v>
      </c>
      <c r="I21" s="161"/>
      <c r="J21" s="161"/>
      <c r="K21" s="161"/>
      <c r="M21" s="161"/>
      <c r="N21" s="161"/>
      <c r="O21" s="161"/>
      <c r="Q21" s="65">
        <f t="shared" ref="Q21:Q26" si="12">LLSP*(LSP*1000)^2/(384)/(E21*70000+((I21+M21)*210000))*(5*(LSP*1000)^2-12*(DAUE*1000)^2)*0.5</f>
        <v>14.738957632849582</v>
      </c>
      <c r="R21" s="65">
        <f t="shared" ref="R21:R26" si="13">LLSP*(LSP*1000)^2/8/F21*0.5</f>
        <v>42.53307854024041</v>
      </c>
      <c r="T21" s="14">
        <f t="shared" ref="T21:T26" si="14">200/((LSP*1000)/Q21)</f>
        <v>0.85400552012210651</v>
      </c>
      <c r="V21" s="60">
        <f t="shared" ref="V21:V26" si="15">LL2SP*(L2SP*1000)^2/(153)/(E21*70000+((I21+M21)*210000))*(5*(L2SP*1000)^2-12*(DAUE*1000)^2)*0.5</f>
        <v>0</v>
      </c>
      <c r="W21" s="60">
        <f t="shared" ref="W21:W26" si="16">LL2SP*(L2SP*1000)^2/8/F21*0.5</f>
        <v>0</v>
      </c>
      <c r="Y21" s="14" t="e">
        <f t="shared" ref="Y21:Y26" si="17">200/((L2SP*1000)/V21)</f>
        <v>#DIV/0!</v>
      </c>
    </row>
    <row r="22" spans="1:25" ht="18.75" customHeight="1" x14ac:dyDescent="0.25">
      <c r="A22" s="62">
        <f t="shared" si="10"/>
        <v>613.18271073557617</v>
      </c>
      <c r="B22" s="161" t="s">
        <v>282</v>
      </c>
      <c r="C22" s="163">
        <f t="shared" si="11"/>
        <v>0.17609332916685266</v>
      </c>
      <c r="D22" s="162">
        <f t="shared" si="5"/>
        <v>2485140</v>
      </c>
      <c r="E22" s="161">
        <f>E21</f>
        <v>949140</v>
      </c>
      <c r="F22" s="161">
        <f>F21</f>
        <v>18551</v>
      </c>
      <c r="G22" s="161">
        <f>G21</f>
        <v>8651</v>
      </c>
      <c r="I22" s="161">
        <v>512000</v>
      </c>
      <c r="J22" s="161">
        <v>12800</v>
      </c>
      <c r="K22" s="161">
        <v>9600</v>
      </c>
      <c r="M22" s="161"/>
      <c r="N22" s="161"/>
      <c r="O22" s="161"/>
      <c r="Q22" s="65">
        <f t="shared" si="12"/>
        <v>5.629193625969906</v>
      </c>
      <c r="R22" s="66">
        <f t="shared" si="13"/>
        <v>42.53307854024041</v>
      </c>
      <c r="T22" s="14">
        <f t="shared" si="14"/>
        <v>0.32616705673269764</v>
      </c>
      <c r="V22" s="60">
        <f t="shared" si="15"/>
        <v>0</v>
      </c>
      <c r="W22" s="60">
        <f t="shared" si="16"/>
        <v>0</v>
      </c>
      <c r="Y22" s="14" t="e">
        <f t="shared" si="17"/>
        <v>#DIV/0!</v>
      </c>
    </row>
    <row r="23" spans="1:25" ht="22.5" customHeight="1" x14ac:dyDescent="0.25">
      <c r="A23" s="62">
        <f t="shared" si="10"/>
        <v>555.46535891826773</v>
      </c>
      <c r="B23" s="161" t="s">
        <v>260</v>
      </c>
      <c r="C23" s="163">
        <f t="shared" si="11"/>
        <v>0.15951810541337794</v>
      </c>
      <c r="D23" s="162">
        <f t="shared" si="5"/>
        <v>2251220</v>
      </c>
      <c r="E23" s="161">
        <f>PROFILE!E32</f>
        <v>2251220</v>
      </c>
      <c r="F23" s="161">
        <f>PROFILE!F32</f>
        <v>30492</v>
      </c>
      <c r="G23" s="161">
        <f>PROFILE!D32</f>
        <v>1065</v>
      </c>
      <c r="I23" s="161"/>
      <c r="J23" s="161"/>
      <c r="K23" s="161"/>
      <c r="M23" s="161"/>
      <c r="N23" s="161"/>
      <c r="O23" s="161"/>
      <c r="Q23" s="65">
        <f t="shared" si="12"/>
        <v>6.2141124579751654</v>
      </c>
      <c r="R23" s="66">
        <f t="shared" si="13"/>
        <v>25.876660763478942</v>
      </c>
      <c r="T23" s="14">
        <f t="shared" si="14"/>
        <v>0.36005845691167288</v>
      </c>
      <c r="V23" s="60">
        <f t="shared" si="15"/>
        <v>0</v>
      </c>
      <c r="W23" s="60">
        <f t="shared" si="16"/>
        <v>0</v>
      </c>
      <c r="Y23" s="14" t="e">
        <f t="shared" si="17"/>
        <v>#DIV/0!</v>
      </c>
    </row>
    <row r="24" spans="1:25" ht="19.5" customHeight="1" x14ac:dyDescent="0.25">
      <c r="A24" s="62">
        <f t="shared" si="10"/>
        <v>1828.6422372412489</v>
      </c>
      <c r="B24" s="161" t="s">
        <v>283</v>
      </c>
      <c r="C24" s="163">
        <f t="shared" si="11"/>
        <v>0.52514804115179103</v>
      </c>
      <c r="D24" s="162">
        <f t="shared" si="5"/>
        <v>7411220</v>
      </c>
      <c r="E24" s="161">
        <f>E23</f>
        <v>2251220</v>
      </c>
      <c r="F24" s="161">
        <f>F23</f>
        <v>30492</v>
      </c>
      <c r="G24" s="161">
        <f>G23</f>
        <v>1065</v>
      </c>
      <c r="I24" s="161">
        <v>1720000</v>
      </c>
      <c r="J24" s="161">
        <v>28800</v>
      </c>
      <c r="K24" s="161">
        <v>14400</v>
      </c>
      <c r="M24" s="161"/>
      <c r="N24" s="161"/>
      <c r="O24" s="161"/>
      <c r="Q24" s="65">
        <f t="shared" si="12"/>
        <v>1.8875885815888411</v>
      </c>
      <c r="R24" s="66">
        <f t="shared" si="13"/>
        <v>25.876660763478942</v>
      </c>
      <c r="T24" s="14">
        <f t="shared" si="14"/>
        <v>0.10937076478214061</v>
      </c>
      <c r="V24" s="60">
        <f t="shared" si="15"/>
        <v>0</v>
      </c>
      <c r="W24" s="60">
        <f t="shared" si="16"/>
        <v>0</v>
      </c>
      <c r="Y24" s="14" t="e">
        <f t="shared" si="17"/>
        <v>#DIV/0!</v>
      </c>
    </row>
    <row r="25" spans="1:25" ht="19.5" customHeight="1" x14ac:dyDescent="0.25">
      <c r="A25" s="62">
        <f t="shared" si="10"/>
        <v>971.06631599983348</v>
      </c>
      <c r="B25" s="161" t="s">
        <v>141</v>
      </c>
      <c r="C25" s="163">
        <f t="shared" si="11"/>
        <v>0.27887006178153895</v>
      </c>
      <c r="D25" s="162">
        <f t="shared" si="5"/>
        <v>3935590</v>
      </c>
      <c r="E25" s="161">
        <f>PROFILE!E33</f>
        <v>3935590</v>
      </c>
      <c r="F25" s="161">
        <f>PROFILE!F33</f>
        <v>57212</v>
      </c>
      <c r="G25" s="161">
        <f>PROFILE!D33</f>
        <v>1447</v>
      </c>
      <c r="I25" s="161"/>
      <c r="J25" s="161"/>
      <c r="K25" s="161"/>
      <c r="M25" s="161"/>
      <c r="N25" s="161"/>
      <c r="O25" s="161"/>
      <c r="Q25" s="65">
        <f t="shared" si="12"/>
        <v>3.5545710421163923</v>
      </c>
      <c r="R25" s="66">
        <f t="shared" si="13"/>
        <v>13.791357407536879</v>
      </c>
      <c r="T25" s="14">
        <f t="shared" si="14"/>
        <v>0.20595915717051222</v>
      </c>
      <c r="V25" s="60">
        <f t="shared" si="15"/>
        <v>0</v>
      </c>
      <c r="W25" s="60">
        <f t="shared" si="16"/>
        <v>0</v>
      </c>
      <c r="Y25" s="14" t="e">
        <f t="shared" si="17"/>
        <v>#DIV/0!</v>
      </c>
    </row>
    <row r="26" spans="1:25" ht="19.5" customHeight="1" x14ac:dyDescent="0.25">
      <c r="A26" s="62">
        <f t="shared" si="10"/>
        <v>3391.5828230441057</v>
      </c>
      <c r="B26" s="161" t="s">
        <v>284</v>
      </c>
      <c r="C26" s="163">
        <f t="shared" si="11"/>
        <v>0.97399209077259163</v>
      </c>
      <c r="D26" s="162">
        <f t="shared" si="5"/>
        <v>13745590</v>
      </c>
      <c r="E26" s="161">
        <f>E25</f>
        <v>3935590</v>
      </c>
      <c r="F26" s="161">
        <f>F25</f>
        <v>57212</v>
      </c>
      <c r="G26" s="161">
        <f>G25</f>
        <v>1447</v>
      </c>
      <c r="I26" s="161">
        <v>3270000</v>
      </c>
      <c r="J26" s="161">
        <v>54211</v>
      </c>
      <c r="K26" s="161">
        <v>14800</v>
      </c>
      <c r="M26" s="161"/>
      <c r="N26" s="161"/>
      <c r="O26" s="161"/>
      <c r="Q26" s="65">
        <f t="shared" si="12"/>
        <v>1.0177325416837584</v>
      </c>
      <c r="R26" s="66">
        <f t="shared" si="13"/>
        <v>13.791357407536879</v>
      </c>
      <c r="T26" s="14">
        <f t="shared" si="14"/>
        <v>5.8969516722723159E-2</v>
      </c>
      <c r="V26" s="60">
        <f t="shared" si="15"/>
        <v>0</v>
      </c>
      <c r="W26" s="60">
        <f t="shared" si="16"/>
        <v>0</v>
      </c>
      <c r="Y26" s="14" t="e">
        <f t="shared" si="17"/>
        <v>#DIV/0!</v>
      </c>
    </row>
    <row r="27" spans="1:25" ht="22.5" customHeight="1" x14ac:dyDescent="0.25">
      <c r="B27" s="162" t="s">
        <v>54</v>
      </c>
      <c r="D27" s="162"/>
    </row>
    <row r="28" spans="1:25" ht="20.25" customHeight="1" x14ac:dyDescent="0.25">
      <c r="A28" s="62"/>
      <c r="B28" s="161">
        <v>95</v>
      </c>
      <c r="C28" s="163">
        <f>D28/imax</f>
        <v>7.2683830016091966E-2</v>
      </c>
      <c r="D28" s="162">
        <f t="shared" si="5"/>
        <v>1025760</v>
      </c>
      <c r="E28" s="161">
        <v>1025760</v>
      </c>
      <c r="F28" s="161">
        <v>20058</v>
      </c>
      <c r="G28" s="161">
        <v>884</v>
      </c>
      <c r="I28" s="161"/>
      <c r="J28" s="161"/>
      <c r="K28" s="161"/>
      <c r="M28" s="161"/>
      <c r="N28" s="161"/>
      <c r="O28" s="161"/>
      <c r="Q28" s="115">
        <f>LL2SP*(L2SP*1000)^2/(153)/(E28*70000+((I28+M28)*210000))*(5*(L2SP*1000)^2-12*(DAUE*1000)^2)*0.5*0.5</f>
        <v>0</v>
      </c>
      <c r="R28" s="115">
        <f>LL2SP*(L2SP*1000)^2/8/F28*0.5*0.5</f>
        <v>0</v>
      </c>
      <c r="T28" s="14" t="e">
        <f t="shared" ref="T28:T31" si="18">200/((L2SP*1000)/Q28)</f>
        <v>#DIV/0!</v>
      </c>
    </row>
    <row r="29" spans="1:25" ht="18.75" customHeight="1" x14ac:dyDescent="0.25">
      <c r="A29" s="62"/>
      <c r="B29" s="161" t="s">
        <v>282</v>
      </c>
      <c r="C29" s="163">
        <f>D29/imax</f>
        <v>0.18152250856148003</v>
      </c>
      <c r="D29" s="162">
        <f t="shared" si="5"/>
        <v>2561760</v>
      </c>
      <c r="E29" s="161">
        <f>E28</f>
        <v>1025760</v>
      </c>
      <c r="F29" s="161">
        <v>20058</v>
      </c>
      <c r="G29" s="161">
        <f>G28</f>
        <v>884</v>
      </c>
      <c r="I29" s="161">
        <v>512000</v>
      </c>
      <c r="J29" s="161">
        <v>12800</v>
      </c>
      <c r="K29" s="161">
        <v>9600</v>
      </c>
      <c r="M29" s="161"/>
      <c r="N29" s="161"/>
      <c r="O29" s="161"/>
      <c r="Q29" s="115">
        <f>LL2SP*(L2SP*1000)^2/(153)/(E29*70000+((I29+M29)*210000))*(5*(L2SP*1000)^2-12*(DAUE*1000)^2)*0.5*0.5</f>
        <v>0</v>
      </c>
      <c r="R29" s="115">
        <f>LL2SP*(L2SP*1000)^2/8/F29*0.5*0.5</f>
        <v>0</v>
      </c>
      <c r="T29" s="14" t="e">
        <f t="shared" si="18"/>
        <v>#DIV/0!</v>
      </c>
    </row>
    <row r="30" spans="1:25" ht="22.5" customHeight="1" x14ac:dyDescent="0.25">
      <c r="A30" s="62"/>
      <c r="B30" s="161" t="s">
        <v>260</v>
      </c>
      <c r="C30" s="163">
        <f>D30/imax</f>
        <v>0.17274101283743709</v>
      </c>
      <c r="D30" s="162">
        <f t="shared" si="5"/>
        <v>2437830</v>
      </c>
      <c r="E30" s="161">
        <v>2437830</v>
      </c>
      <c r="F30" s="161">
        <v>33370</v>
      </c>
      <c r="G30" s="161">
        <v>1084</v>
      </c>
      <c r="I30" s="161"/>
      <c r="J30" s="161"/>
      <c r="K30" s="161"/>
      <c r="M30" s="161"/>
      <c r="N30" s="161"/>
      <c r="O30" s="161"/>
      <c r="Q30" s="115">
        <f>LL2SP*(L2SP*1000)^2/(153)/(E30*70000+((I30+M30)*210000))*(5*(L2SP*1000)^2-12*(DAUE*1000)^2)*0.5*0.5</f>
        <v>0</v>
      </c>
      <c r="R30" s="115">
        <f>LL2SP*(L2SP*1000)^2/8/F30*0.5*0.5</f>
        <v>0</v>
      </c>
      <c r="T30" s="14" t="e">
        <f t="shared" si="18"/>
        <v>#DIV/0!</v>
      </c>
    </row>
    <row r="31" spans="1:25" ht="19.5" customHeight="1" x14ac:dyDescent="0.25">
      <c r="A31" s="62"/>
      <c r="B31" s="161" t="s">
        <v>283</v>
      </c>
      <c r="C31" s="163">
        <f>D31/imax</f>
        <v>0.53837094857585011</v>
      </c>
      <c r="D31" s="162">
        <f t="shared" si="5"/>
        <v>7597830</v>
      </c>
      <c r="E31" s="161">
        <f>E30</f>
        <v>2437830</v>
      </c>
      <c r="F31" s="161">
        <f>F30</f>
        <v>33370</v>
      </c>
      <c r="G31" s="161">
        <f>G30</f>
        <v>1084</v>
      </c>
      <c r="I31" s="161">
        <v>1720000</v>
      </c>
      <c r="J31" s="161">
        <v>28800</v>
      </c>
      <c r="K31" s="161">
        <v>14400</v>
      </c>
      <c r="M31" s="161"/>
      <c r="N31" s="161"/>
      <c r="O31" s="161"/>
      <c r="Q31" s="115">
        <f>LL2SP*(L2SP*1000)^2/(153)/(E31*70000+((I31+M31)*210000))*(5*(L2SP*1000)^2-12*(DAUE*1000)^2)*0.5*0.5</f>
        <v>0</v>
      </c>
      <c r="R31" s="115">
        <f>LL2SP*(L2SP*1000)^2/8/F31*0.5*0.5</f>
        <v>0</v>
      </c>
      <c r="T31" s="14" t="e">
        <f t="shared" si="18"/>
        <v>#DIV/0!</v>
      </c>
    </row>
    <row r="33" spans="4:4" x14ac:dyDescent="0.25">
      <c r="D33" s="162">
        <f>MAX(D4:D31)</f>
        <v>14112630</v>
      </c>
    </row>
  </sheetData>
  <sheetProtection algorithmName="SHA-512" hashValue="dVkZ5wyIARmkZnKsOY21ofn+RhYH8dUNdSwMtc5D6CyNZjmzwTeNhZSQDLISl82DnuXnT/AsqeNkWKmg+HVLZg==" saltValue="LzO3pIvkURfWOU7zlwBTJA==" spinCount="100000" sheet="1" objects="1" scenarios="1"/>
  <pageMargins left="0.25" right="0.25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EA041-C4C7-4675-B3E1-99D5AAE29F07}">
  <sheetPr codeName="Tabelle7"/>
  <dimension ref="A1:AD22"/>
  <sheetViews>
    <sheetView topLeftCell="A13" zoomScaleNormal="100" workbookViewId="0">
      <selection activeCell="N26" sqref="N26"/>
    </sheetView>
  </sheetViews>
  <sheetFormatPr baseColWidth="10" defaultColWidth="11.42578125" defaultRowHeight="15" x14ac:dyDescent="0.25"/>
  <cols>
    <col min="1" max="1" width="13.140625" customWidth="1"/>
    <col min="2" max="3" width="12.42578125" customWidth="1"/>
    <col min="4" max="6" width="13.85546875" customWidth="1"/>
    <col min="7" max="9" width="12.5703125" customWidth="1"/>
    <col min="10" max="14" width="9" customWidth="1"/>
    <col min="15" max="15" width="13" customWidth="1"/>
    <col min="16" max="17" width="12.42578125" customWidth="1"/>
    <col min="18" max="18" width="10" customWidth="1"/>
    <col min="19" max="23" width="12.42578125" customWidth="1"/>
    <col min="24" max="29" width="13.7109375" customWidth="1"/>
    <col min="30" max="30" width="13.7109375" hidden="1" customWidth="1"/>
    <col min="31" max="32" width="13.7109375" customWidth="1"/>
  </cols>
  <sheetData>
    <row r="1" spans="1:19" ht="22.5" customHeight="1" x14ac:dyDescent="0.25"/>
    <row r="2" spans="1:19" ht="22.5" customHeight="1" x14ac:dyDescent="0.25">
      <c r="A2" t="s">
        <v>138</v>
      </c>
      <c r="B2" s="59" t="s">
        <v>56</v>
      </c>
      <c r="C2" s="59"/>
      <c r="D2" s="59" t="s">
        <v>146</v>
      </c>
      <c r="E2" s="59" t="s">
        <v>147</v>
      </c>
      <c r="F2" s="59"/>
      <c r="G2" s="59" t="s">
        <v>148</v>
      </c>
      <c r="H2" s="59" t="s">
        <v>149</v>
      </c>
      <c r="I2" s="59"/>
      <c r="J2" s="63" t="s">
        <v>118</v>
      </c>
      <c r="K2" s="63"/>
      <c r="L2" s="63"/>
      <c r="M2" s="63" t="s">
        <v>117</v>
      </c>
      <c r="N2" s="59"/>
      <c r="O2" s="59"/>
    </row>
    <row r="3" spans="1:19" ht="27" customHeight="1" x14ac:dyDescent="0.25">
      <c r="D3" s="161" t="s">
        <v>73</v>
      </c>
      <c r="E3" s="161"/>
      <c r="F3" s="161"/>
      <c r="G3" s="161" t="s">
        <v>73</v>
      </c>
      <c r="H3" s="161" t="s">
        <v>74</v>
      </c>
      <c r="I3" s="161"/>
      <c r="J3" s="64" t="s">
        <v>71</v>
      </c>
      <c r="K3" s="64"/>
      <c r="L3" s="64"/>
      <c r="M3" s="64" t="s">
        <v>71</v>
      </c>
      <c r="N3" s="161"/>
      <c r="O3" s="161"/>
    </row>
    <row r="4" spans="1:19" ht="27" customHeight="1" x14ac:dyDescent="0.25">
      <c r="A4" s="62" t="e">
        <f t="shared" ref="A4:A11" si="0">LSP*1000/J4</f>
        <v>#DIV/0!</v>
      </c>
      <c r="B4" s="171" t="s">
        <v>277</v>
      </c>
      <c r="D4" s="171">
        <v>629634</v>
      </c>
      <c r="E4" s="171">
        <v>207526</v>
      </c>
      <c r="F4" s="171"/>
      <c r="G4" s="171"/>
      <c r="H4" s="171"/>
      <c r="I4" s="171"/>
      <c r="J4" s="65">
        <f t="shared" ref="J4:J11" si="1">(5*OLF*LLUB*LFE*((TL-0.16)*1000)^4)/(384)/(D4*70000+G4*210000)</f>
        <v>0</v>
      </c>
      <c r="K4" s="65">
        <f t="shared" ref="K4:K5" si="2">J4/10</f>
        <v>0</v>
      </c>
      <c r="L4" s="65"/>
      <c r="M4" s="65">
        <f t="shared" ref="M4:M11" si="3">(5*LLTH*((TL-0.16)*1000)^4)/(384)/(E4*70000+H4*210000)</f>
        <v>5.4657551413236574</v>
      </c>
      <c r="N4" s="79">
        <f t="shared" ref="N4:N11" si="4">M4/((TL-0.16)*1000/200)</f>
        <v>0.32729072702536871</v>
      </c>
      <c r="O4" s="171"/>
    </row>
    <row r="5" spans="1:19" ht="27" customHeight="1" x14ac:dyDescent="0.25">
      <c r="A5" s="62" t="e">
        <f t="shared" si="0"/>
        <v>#DIV/0!</v>
      </c>
      <c r="B5" s="171" t="s">
        <v>278</v>
      </c>
      <c r="D5" s="171">
        <v>629634</v>
      </c>
      <c r="E5" s="171">
        <v>207526</v>
      </c>
      <c r="F5" s="171"/>
      <c r="G5" s="171">
        <v>311974</v>
      </c>
      <c r="H5" s="171">
        <v>80075</v>
      </c>
      <c r="I5" s="171"/>
      <c r="J5" s="65">
        <f t="shared" si="1"/>
        <v>0</v>
      </c>
      <c r="K5" s="65">
        <f t="shared" si="2"/>
        <v>0</v>
      </c>
      <c r="L5" s="65"/>
      <c r="M5" s="65">
        <f t="shared" si="3"/>
        <v>2.5332970813204958</v>
      </c>
      <c r="N5" s="79">
        <f t="shared" si="4"/>
        <v>0.15169443600721533</v>
      </c>
      <c r="O5" s="171"/>
    </row>
    <row r="6" spans="1:19" ht="20.25" customHeight="1" x14ac:dyDescent="0.25">
      <c r="A6" s="62" t="e">
        <f t="shared" si="0"/>
        <v>#DIV/0!</v>
      </c>
      <c r="B6" s="171" t="s">
        <v>150</v>
      </c>
      <c r="C6" s="161"/>
      <c r="D6" s="161">
        <v>1004510</v>
      </c>
      <c r="E6" s="161">
        <v>1153400</v>
      </c>
      <c r="F6" s="161"/>
      <c r="G6" s="161"/>
      <c r="H6" s="161"/>
      <c r="I6" s="161"/>
      <c r="J6" s="65">
        <f t="shared" si="1"/>
        <v>0</v>
      </c>
      <c r="K6" s="65">
        <f>J6/10</f>
        <v>0</v>
      </c>
      <c r="L6" s="65"/>
      <c r="M6" s="65">
        <f t="shared" si="3"/>
        <v>0.9834283869068261</v>
      </c>
      <c r="N6" s="79">
        <f t="shared" si="4"/>
        <v>5.8887927359690187E-2</v>
      </c>
      <c r="O6" s="161"/>
      <c r="S6" s="14"/>
    </row>
    <row r="7" spans="1:19" ht="18.75" customHeight="1" x14ac:dyDescent="0.25">
      <c r="A7" s="62" t="e">
        <f t="shared" si="0"/>
        <v>#DIV/0!</v>
      </c>
      <c r="B7" s="171" t="s">
        <v>151</v>
      </c>
      <c r="C7" s="161"/>
      <c r="D7" s="171">
        <v>1004510</v>
      </c>
      <c r="E7" s="171">
        <v>1153400</v>
      </c>
      <c r="F7" s="161"/>
      <c r="G7" s="80">
        <f>PF80STIx*2</f>
        <v>571666.66666666663</v>
      </c>
      <c r="H7" s="80">
        <f>PROFILE!I14*2</f>
        <v>11666.666666666666</v>
      </c>
      <c r="I7" s="161"/>
      <c r="J7" s="65">
        <f t="shared" si="1"/>
        <v>0</v>
      </c>
      <c r="K7" s="65">
        <f t="shared" ref="K7:K11" si="5">J7/10</f>
        <v>0</v>
      </c>
      <c r="L7" s="65"/>
      <c r="M7" s="65">
        <f t="shared" si="3"/>
        <v>0.95446508032508692</v>
      </c>
      <c r="N7" s="79">
        <f t="shared" si="4"/>
        <v>5.7153597624256702E-2</v>
      </c>
      <c r="O7" s="161"/>
      <c r="S7" s="14"/>
    </row>
    <row r="8" spans="1:19" ht="18.75" customHeight="1" x14ac:dyDescent="0.25">
      <c r="A8" s="62" t="e">
        <f t="shared" si="0"/>
        <v>#DIV/0!</v>
      </c>
      <c r="B8" s="171" t="s">
        <v>152</v>
      </c>
      <c r="C8" s="171"/>
      <c r="D8" s="171">
        <v>1290970</v>
      </c>
      <c r="E8" s="171">
        <v>2521680</v>
      </c>
      <c r="F8" s="171"/>
      <c r="G8" s="80"/>
      <c r="H8" s="80"/>
      <c r="I8" s="171"/>
      <c r="J8" s="65">
        <f t="shared" si="1"/>
        <v>0</v>
      </c>
      <c r="K8" s="65">
        <f t="shared" si="5"/>
        <v>0</v>
      </c>
      <c r="L8" s="65"/>
      <c r="M8" s="65">
        <f t="shared" si="3"/>
        <v>0.44981373586590417</v>
      </c>
      <c r="N8" s="79">
        <f t="shared" si="4"/>
        <v>2.6934954243467316E-2</v>
      </c>
      <c r="O8" s="171"/>
      <c r="S8" s="14"/>
    </row>
    <row r="9" spans="1:19" ht="18.75" customHeight="1" x14ac:dyDescent="0.25">
      <c r="A9" s="62" t="e">
        <f t="shared" si="0"/>
        <v>#DIV/0!</v>
      </c>
      <c r="B9" s="171" t="s">
        <v>153</v>
      </c>
      <c r="C9" s="171"/>
      <c r="D9" s="171">
        <v>1290970</v>
      </c>
      <c r="E9" s="171">
        <v>2521680</v>
      </c>
      <c r="F9" s="171"/>
      <c r="G9" s="80">
        <f>PF80STIx*2</f>
        <v>571666.66666666663</v>
      </c>
      <c r="H9" s="80">
        <f>PROFILE!I12*2</f>
        <v>2009020</v>
      </c>
      <c r="I9" s="171"/>
      <c r="J9" s="65">
        <f t="shared" si="1"/>
        <v>0</v>
      </c>
      <c r="K9" s="65">
        <f t="shared" si="5"/>
        <v>0</v>
      </c>
      <c r="L9" s="65"/>
      <c r="M9" s="65">
        <f t="shared" si="3"/>
        <v>0.13268461802070636</v>
      </c>
      <c r="N9" s="79">
        <f t="shared" si="4"/>
        <v>7.9451867078267277E-3</v>
      </c>
      <c r="O9" s="171"/>
      <c r="S9" s="14"/>
    </row>
    <row r="10" spans="1:19" ht="22.5" customHeight="1" x14ac:dyDescent="0.25">
      <c r="A10" s="62" t="e">
        <f t="shared" si="0"/>
        <v>#DIV/0!</v>
      </c>
      <c r="B10" s="171" t="s">
        <v>275</v>
      </c>
      <c r="C10" s="161"/>
      <c r="D10" s="161">
        <v>9572830</v>
      </c>
      <c r="E10" s="161">
        <v>2173730</v>
      </c>
      <c r="F10" s="161"/>
      <c r="G10" s="80"/>
      <c r="H10" s="80"/>
      <c r="I10" s="161"/>
      <c r="J10" s="65">
        <f t="shared" si="1"/>
        <v>0</v>
      </c>
      <c r="K10" s="65">
        <f t="shared" si="5"/>
        <v>0</v>
      </c>
      <c r="L10" s="65"/>
      <c r="M10" s="65">
        <f t="shared" si="3"/>
        <v>0.52181563554734633</v>
      </c>
      <c r="N10" s="79">
        <f t="shared" si="4"/>
        <v>3.124644524235607E-2</v>
      </c>
      <c r="O10" s="161"/>
      <c r="S10" s="14"/>
    </row>
    <row r="11" spans="1:19" ht="19.5" customHeight="1" x14ac:dyDescent="0.25">
      <c r="A11" s="62" t="e">
        <f t="shared" si="0"/>
        <v>#DIV/0!</v>
      </c>
      <c r="B11" s="171" t="s">
        <v>276</v>
      </c>
      <c r="C11" s="161"/>
      <c r="D11" s="161">
        <v>9572830</v>
      </c>
      <c r="E11" s="171">
        <v>2173730</v>
      </c>
      <c r="F11" s="161"/>
      <c r="G11" s="80">
        <v>5723850</v>
      </c>
      <c r="H11" s="80">
        <v>351439</v>
      </c>
      <c r="I11" s="161"/>
      <c r="J11" s="65">
        <f t="shared" si="1"/>
        <v>0</v>
      </c>
      <c r="K11" s="65">
        <f t="shared" si="5"/>
        <v>0</v>
      </c>
      <c r="L11" s="65"/>
      <c r="M11" s="65">
        <f t="shared" si="3"/>
        <v>0.35138469218643137</v>
      </c>
      <c r="N11" s="79">
        <f t="shared" si="4"/>
        <v>2.104099953212164E-2</v>
      </c>
      <c r="O11" s="161"/>
      <c r="S11" s="14"/>
    </row>
    <row r="12" spans="1:19" ht="19.5" customHeight="1" x14ac:dyDescent="0.25"/>
    <row r="13" spans="1:19" ht="19.5" customHeight="1" x14ac:dyDescent="0.25"/>
    <row r="14" spans="1:19" ht="19.5" customHeight="1" x14ac:dyDescent="0.25"/>
    <row r="15" spans="1:19" ht="19.5" customHeight="1" x14ac:dyDescent="0.25"/>
    <row r="16" spans="1:19" ht="22.5" customHeight="1" x14ac:dyDescent="0.25">
      <c r="G16" s="161"/>
      <c r="H16" s="161"/>
      <c r="I16" s="161"/>
      <c r="M16" s="161"/>
      <c r="N16" s="161"/>
      <c r="O16" s="161"/>
    </row>
    <row r="17" ht="22.5" customHeight="1" x14ac:dyDescent="0.25"/>
    <row r="18" ht="22.5" customHeight="1" x14ac:dyDescent="0.25"/>
    <row r="19" ht="22.5" customHeight="1" x14ac:dyDescent="0.25"/>
    <row r="20" ht="22.5" customHeight="1" x14ac:dyDescent="0.25"/>
    <row r="21" ht="22.5" customHeight="1" x14ac:dyDescent="0.25"/>
    <row r="22" ht="22.5" customHeight="1" x14ac:dyDescent="0.25"/>
  </sheetData>
  <sheetProtection algorithmName="SHA-512" hashValue="mZPoLQNKb5mOKDzesxnXQaumss/tIugWrHUa2rKrCAVr+sUjTRjpwQbg4siFSPGrEnHIEtyHUDCQCZ15Qz/Rqg==" saltValue="NRNqF5y+lQ38GawGh8CbQA==" spinCount="100000" sheet="1" objects="1" scenarios="1"/>
  <pageMargins left="0.25" right="0.25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84576-1927-4FD7-9BA8-3F03503B23FF}">
  <sheetPr codeName="Tabelle8"/>
  <dimension ref="A1:V83"/>
  <sheetViews>
    <sheetView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15.710937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EINGABE!AI6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FT1N</f>
        <v>FT130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FT1I</f>
        <v>3300000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231000000000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PF1N</f>
        <v>PF80x80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PF1E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PF1I</f>
        <v>1153400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.75" hidden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80738000000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9.4372715273034817</v>
      </c>
      <c r="J46" s="13">
        <f>6*(E17*E34)/(E18*E44)</f>
        <v>9.4372715273034817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0.51118879094038583</v>
      </c>
      <c r="J47" s="14">
        <f>E17*10^-3*SQRT(E47/(E44*10^-9))</f>
        <v>0.51118879094038583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0.91133911733937922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0.74199721882523351</v>
      </c>
      <c r="F49" s="3" t="s">
        <v>33</v>
      </c>
      <c r="H49" s="12" t="s">
        <v>211</v>
      </c>
      <c r="I49">
        <v>1</v>
      </c>
      <c r="J49">
        <f>J47/(SIN(J47))</f>
        <v>1.0449176842105854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0.51118033133875296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-0.60265346882523363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0.33928870803757599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G52" s="15">
        <f>MAX(G53:G54)</f>
        <v>1.6278023678927616</v>
      </c>
      <c r="H52" s="12" t="s">
        <v>219</v>
      </c>
      <c r="I52" s="13">
        <f>1/6</f>
        <v>0.16666666666666666</v>
      </c>
      <c r="J52" s="15">
        <f>(J49-1)/$J$47^2</f>
        <v>0.17189162330117772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-1.2436605511042496</v>
      </c>
      <c r="F53" s="20" t="s">
        <v>75</v>
      </c>
      <c r="G53" s="15">
        <f>ABS(E53)</f>
        <v>1.2436605511042496</v>
      </c>
      <c r="H53" s="12" t="s">
        <v>222</v>
      </c>
      <c r="I53" s="13">
        <f>1/24</f>
        <v>4.1666666666666664E-2</v>
      </c>
      <c r="J53" s="15">
        <f>(J50-0.5)/$J$47^2</f>
        <v>4.2785048620346697E-2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-1.6278023678927616</v>
      </c>
      <c r="F54" s="22" t="s">
        <v>75</v>
      </c>
      <c r="G54" s="15">
        <f>ABS(E54)</f>
        <v>1.6278023678927616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s="77" customFormat="1" ht="18.75" thickBot="1" x14ac:dyDescent="0.4">
      <c r="A55" s="74" t="s">
        <v>226</v>
      </c>
      <c r="B55" s="75"/>
      <c r="C55" s="75"/>
      <c r="D55" s="75" t="s">
        <v>227</v>
      </c>
      <c r="E55" s="78">
        <f>E20*(E18*10^-3)^2/8</f>
        <v>4.4521742999999994</v>
      </c>
      <c r="F55" s="76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4.91907654668214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30.850419896969697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-11.938324620799694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18.912095276170003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1.5728785878839138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0.67232534382523357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3.003313184056621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-1.4488611159433784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30.850419896969697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-12.047499703480698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18.802920193489001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0.60948668628448488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2.5184012965039297E-2</v>
      </c>
      <c r="C79">
        <f t="shared" si="2"/>
        <v>4.9120038559955148</v>
      </c>
      <c r="D79">
        <f t="shared" si="2"/>
        <v>9.6845638140567285</v>
      </c>
      <c r="E79">
        <f t="shared" si="2"/>
        <v>14.191810161003996</v>
      </c>
      <c r="F79">
        <f t="shared" si="2"/>
        <v>18.322681385208245</v>
      </c>
      <c r="G79">
        <f t="shared" si="2"/>
        <v>21.980924176590907</v>
      </c>
      <c r="H79">
        <f t="shared" si="2"/>
        <v>25.085093426623995</v>
      </c>
      <c r="I79">
        <f t="shared" si="2"/>
        <v>27.568552228330056</v>
      </c>
      <c r="J79">
        <f t="shared" si="2"/>
        <v>29.379471876282174</v>
      </c>
      <c r="K79">
        <f t="shared" si="2"/>
        <v>30.480831866604007</v>
      </c>
      <c r="L79">
        <f t="shared" si="2"/>
        <v>30.850419896969697</v>
      </c>
      <c r="M79">
        <f t="shared" si="2"/>
        <v>30.480831866604007</v>
      </c>
      <c r="N79">
        <f t="shared" si="2"/>
        <v>29.379471876282174</v>
      </c>
      <c r="O79">
        <f t="shared" si="2"/>
        <v>27.568552228330056</v>
      </c>
      <c r="P79">
        <f t="shared" si="2"/>
        <v>25.085093426623995</v>
      </c>
      <c r="Q79">
        <f t="shared" si="2"/>
        <v>21.980924176590907</v>
      </c>
      <c r="R79">
        <f t="shared" si="2"/>
        <v>18.322681385208245</v>
      </c>
      <c r="S79">
        <f t="shared" si="2"/>
        <v>14.191810161003996</v>
      </c>
      <c r="T79">
        <f t="shared" si="2"/>
        <v>9.6845638140567285</v>
      </c>
      <c r="U79">
        <f t="shared" si="2"/>
        <v>4.9120038559955148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-1.1636041070093193E-2</v>
      </c>
      <c r="C80">
        <f t="shared" si="3"/>
        <v>-2.1772470517697347</v>
      </c>
      <c r="D80">
        <f t="shared" si="3"/>
        <v>-4.1444753878125908</v>
      </c>
      <c r="E80">
        <f t="shared" si="3"/>
        <v>-5.8984908107186742</v>
      </c>
      <c r="F80">
        <f t="shared" si="3"/>
        <v>-7.4360991230780726</v>
      </c>
      <c r="G80">
        <f t="shared" si="3"/>
        <v>-8.7541061274808936</v>
      </c>
      <c r="H80">
        <f t="shared" si="3"/>
        <v>-9.8493176265172284</v>
      </c>
      <c r="I80">
        <f t="shared" si="3"/>
        <v>-10.71853942277718</v>
      </c>
      <c r="J80">
        <f t="shared" si="3"/>
        <v>-11.358577318850843</v>
      </c>
      <c r="K80">
        <f t="shared" si="3"/>
        <v>-11.766237117328313</v>
      </c>
      <c r="L80">
        <f t="shared" si="3"/>
        <v>-11.938324620799696</v>
      </c>
      <c r="M80">
        <f t="shared" si="3"/>
        <v>-11.871645631855081</v>
      </c>
      <c r="N80">
        <f t="shared" si="3"/>
        <v>-11.563005953084573</v>
      </c>
      <c r="O80">
        <f t="shared" si="3"/>
        <v>-11.009211387078263</v>
      </c>
      <c r="P80">
        <f t="shared" si="3"/>
        <v>-10.207067736426259</v>
      </c>
      <c r="Q80">
        <f t="shared" si="3"/>
        <v>-9.153380803718651</v>
      </c>
      <c r="R80">
        <f t="shared" si="3"/>
        <v>-7.8449563915455354</v>
      </c>
      <c r="S80">
        <f t="shared" si="3"/>
        <v>-6.2786003024970158</v>
      </c>
      <c r="T80">
        <f t="shared" si="3"/>
        <v>-4.4511183391631874</v>
      </c>
      <c r="U80">
        <f t="shared" si="3"/>
        <v>-2.3593163041341518</v>
      </c>
      <c r="V80">
        <f t="shared" si="3"/>
        <v>0</v>
      </c>
    </row>
    <row r="81" spans="1:22" x14ac:dyDescent="0.25">
      <c r="A81" s="12" t="s">
        <v>258</v>
      </c>
      <c r="B81">
        <f>SUM(B79:B80)*-1</f>
        <v>-1.3547971894946104E-2</v>
      </c>
      <c r="C81">
        <f t="shared" ref="C81:V81" si="4">SUM(C79:C80)*-1</f>
        <v>-2.7347568042257802</v>
      </c>
      <c r="D81">
        <f t="shared" si="4"/>
        <v>-5.5400884262441377</v>
      </c>
      <c r="E81">
        <f t="shared" si="4"/>
        <v>-8.2933193502853229</v>
      </c>
      <c r="F81">
        <f t="shared" si="4"/>
        <v>-10.886582262130172</v>
      </c>
      <c r="G81">
        <f t="shared" si="4"/>
        <v>-13.226818049110014</v>
      </c>
      <c r="H81">
        <f t="shared" si="4"/>
        <v>-15.235775800106767</v>
      </c>
      <c r="I81">
        <f t="shared" si="4"/>
        <v>-16.850012805552876</v>
      </c>
      <c r="J81">
        <f t="shared" si="4"/>
        <v>-18.020894557431333</v>
      </c>
      <c r="K81">
        <f t="shared" si="4"/>
        <v>-18.714594749275694</v>
      </c>
      <c r="L81">
        <f t="shared" si="4"/>
        <v>-18.91209527617</v>
      </c>
      <c r="M81">
        <f t="shared" si="4"/>
        <v>-18.609186234748925</v>
      </c>
      <c r="N81">
        <f t="shared" si="4"/>
        <v>-17.816465923197601</v>
      </c>
      <c r="O81">
        <f t="shared" si="4"/>
        <v>-16.559340841251792</v>
      </c>
      <c r="P81">
        <f t="shared" si="4"/>
        <v>-14.878025690197736</v>
      </c>
      <c r="Q81">
        <f t="shared" si="4"/>
        <v>-12.827543372872256</v>
      </c>
      <c r="R81">
        <f t="shared" si="4"/>
        <v>-10.47772499366271</v>
      </c>
      <c r="S81">
        <f t="shared" si="4"/>
        <v>-7.9132098585069803</v>
      </c>
      <c r="T81">
        <f t="shared" si="4"/>
        <v>-5.2334454748935411</v>
      </c>
      <c r="U81">
        <f t="shared" si="4"/>
        <v>-2.552687551861363</v>
      </c>
      <c r="V81">
        <f t="shared" si="4"/>
        <v>0</v>
      </c>
    </row>
    <row r="82" spans="1:22" ht="18" x14ac:dyDescent="0.35">
      <c r="A82" s="12" t="s">
        <v>257</v>
      </c>
      <c r="B82">
        <f t="shared" ref="B82:V82" si="5">(((B78-B78^3)*$E$67*10^9+(B77-B77^3)*$E$67*10^9)/(6*$E$34))*$E$18^2*10^-3</f>
        <v>-1.2290230981347293E-2</v>
      </c>
      <c r="C82">
        <f t="shared" si="5"/>
        <v>-2.2890249436613335</v>
      </c>
      <c r="D82">
        <f t="shared" si="5"/>
        <v>-4.3370998932530505</v>
      </c>
      <c r="E82">
        <f t="shared" si="5"/>
        <v>-6.1442248487751572</v>
      </c>
      <c r="F82">
        <f t="shared" si="5"/>
        <v>-7.7103998102276456</v>
      </c>
      <c r="G82">
        <f t="shared" si="5"/>
        <v>-9.0356247776105239</v>
      </c>
      <c r="H82">
        <f t="shared" si="5"/>
        <v>-10.119899750923786</v>
      </c>
      <c r="I82">
        <f t="shared" si="5"/>
        <v>-10.963224730167436</v>
      </c>
      <c r="J82">
        <f t="shared" si="5"/>
        <v>-11.565599715341472</v>
      </c>
      <c r="K82">
        <f t="shared" si="5"/>
        <v>-11.927024706445893</v>
      </c>
      <c r="L82">
        <f t="shared" si="5"/>
        <v>-12.047499703480698</v>
      </c>
      <c r="M82">
        <f t="shared" si="5"/>
        <v>-11.927024706445893</v>
      </c>
      <c r="N82">
        <f t="shared" si="5"/>
        <v>-11.565599715341472</v>
      </c>
      <c r="O82">
        <f t="shared" si="5"/>
        <v>-10.963224730167436</v>
      </c>
      <c r="P82">
        <f t="shared" si="5"/>
        <v>-10.119899750923786</v>
      </c>
      <c r="Q82">
        <f t="shared" si="5"/>
        <v>-9.0356247776105239</v>
      </c>
      <c r="R82">
        <f t="shared" si="5"/>
        <v>-7.7103998102276456</v>
      </c>
      <c r="S82">
        <f t="shared" si="5"/>
        <v>-6.1442248487751572</v>
      </c>
      <c r="T82">
        <f t="shared" si="5"/>
        <v>-4.3370998932530505</v>
      </c>
      <c r="U82">
        <f t="shared" si="5"/>
        <v>-2.2890249436613335</v>
      </c>
      <c r="V82">
        <f t="shared" si="5"/>
        <v>0</v>
      </c>
    </row>
    <row r="83" spans="1:22" x14ac:dyDescent="0.25">
      <c r="A83" s="12" t="s">
        <v>259</v>
      </c>
      <c r="B83">
        <f>SUM(B79+B82)</f>
        <v>1.2893781983692005E-2</v>
      </c>
      <c r="C83">
        <f t="shared" ref="C83:V83" si="6">SUM(C79+C82)</f>
        <v>2.6229789123341813</v>
      </c>
      <c r="D83">
        <f t="shared" si="6"/>
        <v>5.3474639208036781</v>
      </c>
      <c r="E83">
        <f t="shared" si="6"/>
        <v>8.0475853122288399</v>
      </c>
      <c r="F83">
        <f t="shared" si="6"/>
        <v>10.612281574980599</v>
      </c>
      <c r="G83">
        <f t="shared" si="6"/>
        <v>12.945299398980383</v>
      </c>
      <c r="H83">
        <f t="shared" si="6"/>
        <v>14.96519367570021</v>
      </c>
      <c r="I83">
        <f t="shared" si="6"/>
        <v>16.60532749816262</v>
      </c>
      <c r="J83">
        <f t="shared" si="6"/>
        <v>17.813872160940704</v>
      </c>
      <c r="K83">
        <f t="shared" si="6"/>
        <v>18.553807160158115</v>
      </c>
      <c r="L83">
        <f t="shared" si="6"/>
        <v>18.802920193489001</v>
      </c>
      <c r="M83">
        <f t="shared" si="6"/>
        <v>18.553807160158115</v>
      </c>
      <c r="N83">
        <f t="shared" si="6"/>
        <v>17.813872160940704</v>
      </c>
      <c r="O83">
        <f t="shared" si="6"/>
        <v>16.60532749816262</v>
      </c>
      <c r="P83">
        <f t="shared" si="6"/>
        <v>14.96519367570021</v>
      </c>
      <c r="Q83">
        <f t="shared" si="6"/>
        <v>12.945299398980383</v>
      </c>
      <c r="R83">
        <f t="shared" si="6"/>
        <v>10.612281574980599</v>
      </c>
      <c r="S83">
        <f t="shared" si="6"/>
        <v>8.0475853122288399</v>
      </c>
      <c r="T83">
        <f t="shared" si="6"/>
        <v>5.3474639208036781</v>
      </c>
      <c r="U83">
        <f t="shared" si="6"/>
        <v>2.6229789123341813</v>
      </c>
      <c r="V83">
        <f t="shared" si="6"/>
        <v>0</v>
      </c>
    </row>
  </sheetData>
  <sheetProtection algorithmName="SHA-512" hashValue="KL+f5htn0lRUr7ZQY1SfSbSxG0denioSUmEK5BWhx3MWhuSb/8EWa9ix/mtrpGKnNbpowb/AGEbBf+vo/k6BgA==" saltValue="OqZlDVabYMtYa3Vlnztddw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7D7A9-C551-4C4F-AD2F-9D6449C83CF6}">
  <sheetPr codeName="Tabelle9"/>
  <dimension ref="A1:V83"/>
  <sheetViews>
    <sheetView topLeftCell="A4" workbookViewId="0">
      <selection activeCell="N26" sqref="N26"/>
    </sheetView>
  </sheetViews>
  <sheetFormatPr baseColWidth="10" defaultColWidth="11.42578125" defaultRowHeight="15" x14ac:dyDescent="0.25"/>
  <cols>
    <col min="3" max="3" width="17.5703125" customWidth="1"/>
    <col min="4" max="4" width="17.28515625" customWidth="1"/>
    <col min="5" max="5" width="16.42578125" customWidth="1"/>
    <col min="9" max="9" width="16.7109375" customWidth="1"/>
    <col min="10" max="10" width="12.7109375" bestFit="1" customWidth="1"/>
  </cols>
  <sheetData>
    <row r="1" spans="1:17" ht="15.75" thickBot="1" x14ac:dyDescent="0.3"/>
    <row r="2" spans="1:17" ht="24" thickBot="1" x14ac:dyDescent="0.4">
      <c r="A2" s="37" t="s">
        <v>154</v>
      </c>
      <c r="B2" s="38"/>
      <c r="C2" s="38"/>
      <c r="D2" s="38"/>
      <c r="E2" s="38"/>
      <c r="F2" s="39"/>
      <c r="Q2" s="40" t="s">
        <v>155</v>
      </c>
    </row>
    <row r="3" spans="1:17" ht="15.75" x14ac:dyDescent="0.25">
      <c r="A3" s="41"/>
      <c r="B3" s="38"/>
      <c r="C3" s="38"/>
      <c r="D3" s="38"/>
      <c r="E3" s="38"/>
      <c r="F3" s="39"/>
    </row>
    <row r="4" spans="1:17" ht="15.75" x14ac:dyDescent="0.25">
      <c r="A4" s="42"/>
      <c r="B4" s="43"/>
      <c r="C4" s="43"/>
      <c r="D4" s="43"/>
      <c r="E4" s="43"/>
      <c r="F4" s="44"/>
    </row>
    <row r="5" spans="1:17" ht="15.75" x14ac:dyDescent="0.25">
      <c r="A5" s="42"/>
      <c r="B5" s="43"/>
      <c r="C5" s="43"/>
      <c r="D5" s="43"/>
      <c r="E5" s="43"/>
      <c r="F5" s="44"/>
    </row>
    <row r="6" spans="1:17" ht="15.75" x14ac:dyDescent="0.25">
      <c r="A6" s="42"/>
      <c r="B6" s="43"/>
      <c r="C6" s="43"/>
      <c r="D6" s="43"/>
      <c r="E6" s="43"/>
      <c r="F6" s="44"/>
    </row>
    <row r="7" spans="1:17" ht="15.75" x14ac:dyDescent="0.25">
      <c r="A7" s="42"/>
      <c r="B7" s="43"/>
      <c r="C7" s="43"/>
      <c r="D7" s="43"/>
      <c r="E7" s="43"/>
      <c r="F7" s="44"/>
    </row>
    <row r="8" spans="1:17" ht="15.75" x14ac:dyDescent="0.25">
      <c r="A8" s="42"/>
      <c r="B8" s="43"/>
      <c r="C8" s="43"/>
      <c r="D8" s="43"/>
      <c r="E8" s="43"/>
      <c r="F8" s="44"/>
    </row>
    <row r="9" spans="1:17" ht="15.75" x14ac:dyDescent="0.25">
      <c r="A9" s="42"/>
      <c r="B9" s="43"/>
      <c r="C9" s="43"/>
      <c r="D9" s="43"/>
      <c r="E9" s="43"/>
      <c r="F9" s="44"/>
    </row>
    <row r="10" spans="1:17" ht="15.75" x14ac:dyDescent="0.25">
      <c r="A10" s="42"/>
      <c r="B10" s="43"/>
      <c r="C10" s="43"/>
      <c r="D10" s="43"/>
      <c r="E10" s="43"/>
      <c r="F10" s="44"/>
    </row>
    <row r="11" spans="1:17" ht="15.75" x14ac:dyDescent="0.25">
      <c r="A11" s="42"/>
      <c r="B11" s="43"/>
      <c r="C11" s="43"/>
      <c r="D11" s="43"/>
      <c r="E11" s="43"/>
      <c r="F11" s="44"/>
    </row>
    <row r="12" spans="1:17" ht="15.75" x14ac:dyDescent="0.25">
      <c r="A12" s="42"/>
      <c r="B12" s="43"/>
      <c r="C12" s="43"/>
      <c r="D12" s="43"/>
      <c r="E12" s="43"/>
      <c r="F12" s="44"/>
    </row>
    <row r="13" spans="1:17" ht="15.75" x14ac:dyDescent="0.25">
      <c r="A13" s="42"/>
      <c r="B13" s="43"/>
      <c r="C13" s="43"/>
      <c r="D13" s="43"/>
      <c r="E13" s="43"/>
      <c r="F13" s="44"/>
    </row>
    <row r="14" spans="1:17" ht="16.5" thickBot="1" x14ac:dyDescent="0.3">
      <c r="A14" s="45"/>
      <c r="B14" s="46"/>
      <c r="C14" s="46"/>
      <c r="D14" s="46"/>
      <c r="E14" s="46"/>
      <c r="F14" s="47"/>
    </row>
    <row r="15" spans="1:17" ht="19.5" thickBot="1" x14ac:dyDescent="0.35">
      <c r="A15" s="215" t="s">
        <v>156</v>
      </c>
      <c r="B15" s="216"/>
      <c r="C15" s="216"/>
      <c r="D15" s="216"/>
      <c r="E15" s="216"/>
      <c r="F15" s="217"/>
    </row>
    <row r="16" spans="1:17" x14ac:dyDescent="0.25">
      <c r="A16" s="1" t="s">
        <v>157</v>
      </c>
      <c r="B16" s="2"/>
      <c r="C16" s="2"/>
      <c r="D16" s="2"/>
      <c r="E16" s="2"/>
      <c r="F16" s="3"/>
    </row>
    <row r="17" spans="1:6" x14ac:dyDescent="0.25">
      <c r="A17" s="1" t="s">
        <v>158</v>
      </c>
      <c r="B17" s="2"/>
      <c r="C17" s="2" t="s">
        <v>159</v>
      </c>
      <c r="D17" s="2" t="s">
        <v>48</v>
      </c>
      <c r="E17" s="4">
        <f>H*1000+FT1x</f>
        <v>2155</v>
      </c>
      <c r="F17" s="3" t="s">
        <v>160</v>
      </c>
    </row>
    <row r="18" spans="1:6" ht="15.75" thickBot="1" x14ac:dyDescent="0.3">
      <c r="A18" s="1" t="s">
        <v>161</v>
      </c>
      <c r="B18" s="2"/>
      <c r="C18" s="2" t="s">
        <v>162</v>
      </c>
      <c r="D18" s="2" t="s">
        <v>163</v>
      </c>
      <c r="E18" s="4">
        <f>(L-PFAE-PFBE)*1000-(2*PF1x)</f>
        <v>3920</v>
      </c>
      <c r="F18" s="3" t="s">
        <v>160</v>
      </c>
    </row>
    <row r="19" spans="1:6" ht="19.5" thickBot="1" x14ac:dyDescent="0.35">
      <c r="A19" s="218" t="s">
        <v>164</v>
      </c>
      <c r="B19" s="219"/>
      <c r="C19" s="219"/>
      <c r="D19" s="219"/>
      <c r="E19" s="219"/>
      <c r="F19" s="220"/>
    </row>
    <row r="20" spans="1:6" ht="18" x14ac:dyDescent="0.35">
      <c r="A20" s="1" t="s">
        <v>165</v>
      </c>
      <c r="B20" s="2"/>
      <c r="C20" s="2" t="s">
        <v>166</v>
      </c>
      <c r="D20" s="2" t="s">
        <v>167</v>
      </c>
      <c r="E20" s="4">
        <f>LLFT</f>
        <v>2.3178749999999999</v>
      </c>
      <c r="F20" s="3" t="s">
        <v>21</v>
      </c>
    </row>
    <row r="21" spans="1:6" x14ac:dyDescent="0.25">
      <c r="A21" s="1" t="s">
        <v>168</v>
      </c>
      <c r="B21" s="2"/>
      <c r="C21" s="2" t="s">
        <v>166</v>
      </c>
      <c r="D21" s="2" t="s">
        <v>169</v>
      </c>
      <c r="E21" s="4">
        <f>MAX(PFAE:PFBE)*LLFT</f>
        <v>0</v>
      </c>
      <c r="F21" s="3" t="s">
        <v>33</v>
      </c>
    </row>
    <row r="22" spans="1:6" ht="18" x14ac:dyDescent="0.35">
      <c r="A22" s="1"/>
      <c r="B22" s="2"/>
      <c r="C22" s="2" t="s">
        <v>170</v>
      </c>
      <c r="D22" s="2" t="s">
        <v>171</v>
      </c>
      <c r="E22" s="4">
        <f>HWL</f>
        <v>0.13934374999999999</v>
      </c>
      <c r="F22" s="3" t="s">
        <v>33</v>
      </c>
    </row>
    <row r="23" spans="1:6" ht="18.75" thickBot="1" x14ac:dyDescent="0.4">
      <c r="A23" s="2" t="s">
        <v>172</v>
      </c>
      <c r="C23" s="2" t="s">
        <v>170</v>
      </c>
      <c r="D23" s="2" t="s">
        <v>173</v>
      </c>
      <c r="E23" s="48">
        <f>SST</f>
        <v>500</v>
      </c>
      <c r="F23" s="3"/>
    </row>
    <row r="24" spans="1:6" ht="19.5" thickBot="1" x14ac:dyDescent="0.35">
      <c r="A24" s="49" t="s">
        <v>174</v>
      </c>
      <c r="B24" s="31"/>
      <c r="C24" s="31"/>
      <c r="D24" s="31"/>
      <c r="E24" s="31"/>
      <c r="F24" s="32"/>
    </row>
    <row r="25" spans="1:6" ht="15.75" thickBot="1" x14ac:dyDescent="0.3">
      <c r="A25" s="212" t="s">
        <v>175</v>
      </c>
      <c r="B25" s="213"/>
      <c r="C25" s="213"/>
      <c r="D25" s="213"/>
      <c r="E25" s="213"/>
      <c r="F25" s="214"/>
    </row>
    <row r="26" spans="1:6" x14ac:dyDescent="0.25">
      <c r="A26" s="50"/>
      <c r="B26" s="5" t="s">
        <v>176</v>
      </c>
      <c r="C26" s="5"/>
      <c r="D26" s="221" t="str">
        <f>FT1N</f>
        <v>FT130</v>
      </c>
      <c r="E26" s="222"/>
      <c r="F26" s="6"/>
    </row>
    <row r="27" spans="1:6" ht="18.75" x14ac:dyDescent="0.35">
      <c r="A27" s="1"/>
      <c r="B27" s="2"/>
      <c r="C27" s="2" t="s">
        <v>177</v>
      </c>
      <c r="D27" s="2" t="s">
        <v>178</v>
      </c>
      <c r="E27" s="4">
        <f>FT1E</f>
        <v>70000</v>
      </c>
      <c r="F27" s="8" t="s">
        <v>179</v>
      </c>
    </row>
    <row r="28" spans="1:6" hidden="1" x14ac:dyDescent="0.25">
      <c r="A28" s="1"/>
      <c r="B28" s="9" t="s">
        <v>180</v>
      </c>
      <c r="C28" s="2"/>
      <c r="D28" s="223"/>
      <c r="E28" s="224"/>
      <c r="F28" s="3"/>
    </row>
    <row r="29" spans="1:6" ht="18.75" hidden="1" x14ac:dyDescent="0.35">
      <c r="A29" s="1"/>
      <c r="B29" s="2"/>
      <c r="C29" s="2" t="s">
        <v>177</v>
      </c>
      <c r="D29" s="2" t="s">
        <v>181</v>
      </c>
      <c r="E29" s="4"/>
      <c r="F29" s="8" t="s">
        <v>179</v>
      </c>
    </row>
    <row r="30" spans="1:6" x14ac:dyDescent="0.25">
      <c r="A30" s="1"/>
      <c r="B30" s="2" t="s">
        <v>182</v>
      </c>
      <c r="C30" s="2"/>
      <c r="D30" s="210"/>
      <c r="E30" s="211"/>
      <c r="F30" s="3"/>
    </row>
    <row r="31" spans="1:6" ht="18.75" x14ac:dyDescent="0.35">
      <c r="A31" s="1"/>
      <c r="B31" s="2"/>
      <c r="C31" s="9" t="s">
        <v>183</v>
      </c>
      <c r="D31" s="2" t="s">
        <v>184</v>
      </c>
      <c r="E31" s="4">
        <f>FT1I</f>
        <v>3300000</v>
      </c>
      <c r="F31" s="3" t="s">
        <v>185</v>
      </c>
    </row>
    <row r="32" spans="1:6" ht="0.75" hidden="1" customHeight="1" x14ac:dyDescent="0.25">
      <c r="A32" s="1"/>
      <c r="B32" s="2" t="s">
        <v>186</v>
      </c>
      <c r="C32" s="2"/>
      <c r="D32" s="210"/>
      <c r="E32" s="211"/>
      <c r="F32" s="3"/>
    </row>
    <row r="33" spans="1:10" ht="0.75" hidden="1" customHeight="1" x14ac:dyDescent="0.35">
      <c r="A33" s="1"/>
      <c r="B33" s="2"/>
      <c r="C33" s="9" t="s">
        <v>183</v>
      </c>
      <c r="D33" s="2" t="s">
        <v>187</v>
      </c>
      <c r="E33" s="4"/>
      <c r="F33" s="3" t="s">
        <v>185</v>
      </c>
    </row>
    <row r="34" spans="1:10" ht="19.5" thickBot="1" x14ac:dyDescent="0.4">
      <c r="A34" s="1"/>
      <c r="B34" s="9" t="s">
        <v>188</v>
      </c>
      <c r="C34" s="9"/>
      <c r="D34" t="s">
        <v>189</v>
      </c>
      <c r="E34" s="10">
        <f>E27*E31+E29*E33</f>
        <v>231000000000</v>
      </c>
      <c r="F34" s="8" t="s">
        <v>190</v>
      </c>
    </row>
    <row r="35" spans="1:10" ht="15.75" thickBot="1" x14ac:dyDescent="0.3">
      <c r="A35" s="212" t="s">
        <v>191</v>
      </c>
      <c r="B35" s="213"/>
      <c r="C35" s="213"/>
      <c r="D35" s="213"/>
      <c r="E35" s="213"/>
      <c r="F35" s="214"/>
    </row>
    <row r="36" spans="1:10" ht="17.25" x14ac:dyDescent="0.25">
      <c r="B36" s="2" t="s">
        <v>176</v>
      </c>
      <c r="C36" s="2"/>
      <c r="D36" s="7"/>
      <c r="E36" s="11" t="str">
        <f>PF2N</f>
        <v>PF100X80</v>
      </c>
      <c r="F36" s="8"/>
    </row>
    <row r="37" spans="1:10" ht="18.75" x14ac:dyDescent="0.35">
      <c r="A37" s="1"/>
      <c r="B37" s="2"/>
      <c r="C37" s="2" t="s">
        <v>177</v>
      </c>
      <c r="D37" s="2" t="s">
        <v>178</v>
      </c>
      <c r="E37" s="4">
        <f>PF2E</f>
        <v>70000</v>
      </c>
      <c r="F37" s="8" t="s">
        <v>179</v>
      </c>
      <c r="I37" s="51"/>
    </row>
    <row r="38" spans="1:10" hidden="1" x14ac:dyDescent="0.25">
      <c r="A38" s="1"/>
      <c r="B38" s="9" t="s">
        <v>180</v>
      </c>
      <c r="C38" s="2"/>
      <c r="D38" s="7"/>
      <c r="E38" s="4"/>
      <c r="F38" s="3"/>
    </row>
    <row r="39" spans="1:10" ht="18.75" hidden="1" x14ac:dyDescent="0.35">
      <c r="A39" s="1"/>
      <c r="B39" s="2"/>
      <c r="C39" s="2" t="s">
        <v>177</v>
      </c>
      <c r="D39" s="2" t="s">
        <v>181</v>
      </c>
      <c r="E39" s="4"/>
      <c r="F39" s="8" t="s">
        <v>179</v>
      </c>
    </row>
    <row r="40" spans="1:10" x14ac:dyDescent="0.25">
      <c r="A40" s="1"/>
      <c r="B40" s="2" t="s">
        <v>182</v>
      </c>
      <c r="C40" s="2"/>
      <c r="D40" s="4"/>
      <c r="E40" s="4"/>
      <c r="F40" s="3"/>
    </row>
    <row r="41" spans="1:10" ht="18.75" x14ac:dyDescent="0.35">
      <c r="A41" s="1"/>
      <c r="B41" s="2"/>
      <c r="C41" s="9" t="s">
        <v>183</v>
      </c>
      <c r="D41" s="2" t="s">
        <v>192</v>
      </c>
      <c r="E41" s="4">
        <f>PF2I</f>
        <v>2521680</v>
      </c>
      <c r="F41" s="3" t="s">
        <v>185</v>
      </c>
    </row>
    <row r="42" spans="1:10" hidden="1" x14ac:dyDescent="0.25">
      <c r="A42" s="1"/>
      <c r="B42" s="2" t="s">
        <v>186</v>
      </c>
      <c r="C42" s="2"/>
      <c r="D42" s="4"/>
      <c r="E42" s="4"/>
      <c r="F42" s="3"/>
    </row>
    <row r="43" spans="1:10" ht="18" customHeight="1" x14ac:dyDescent="0.35">
      <c r="A43" s="1"/>
      <c r="B43" s="2"/>
      <c r="C43" s="9" t="s">
        <v>183</v>
      </c>
      <c r="D43" s="2" t="s">
        <v>193</v>
      </c>
      <c r="E43" s="4"/>
      <c r="F43" s="3" t="s">
        <v>194</v>
      </c>
      <c r="H43" t="s">
        <v>195</v>
      </c>
    </row>
    <row r="44" spans="1:10" ht="19.5" thickBot="1" x14ac:dyDescent="0.4">
      <c r="A44" s="16"/>
      <c r="B44" s="17" t="s">
        <v>196</v>
      </c>
      <c r="C44" s="17"/>
      <c r="D44" t="s">
        <v>197</v>
      </c>
      <c r="E44" s="10">
        <f>E37*E41+E39*E43</f>
        <v>176517600000</v>
      </c>
      <c r="F44" s="52" t="s">
        <v>190</v>
      </c>
    </row>
    <row r="45" spans="1:10" ht="19.5" thickBot="1" x14ac:dyDescent="0.35">
      <c r="A45" s="49" t="s">
        <v>198</v>
      </c>
      <c r="B45" s="53"/>
      <c r="C45" s="53"/>
      <c r="D45" s="53"/>
      <c r="E45" s="53"/>
      <c r="F45" s="54"/>
      <c r="I45" t="s">
        <v>199</v>
      </c>
      <c r="J45" t="s">
        <v>200</v>
      </c>
    </row>
    <row r="46" spans="1:10" ht="15.75" thickBot="1" x14ac:dyDescent="0.3">
      <c r="A46" s="33" t="s">
        <v>201</v>
      </c>
      <c r="B46" s="31"/>
      <c r="C46" s="31"/>
      <c r="D46" s="31"/>
      <c r="E46" s="31"/>
      <c r="F46" s="32"/>
      <c r="H46" s="12" t="s">
        <v>202</v>
      </c>
      <c r="I46" s="13">
        <f>6*(E17*E34)/(E18*E44)</f>
        <v>4.316546500583673</v>
      </c>
      <c r="J46" s="13">
        <f>6*(E17*E34)/(E18*E44)</f>
        <v>4.316546500583673</v>
      </c>
    </row>
    <row r="47" spans="1:10" ht="18" x14ac:dyDescent="0.35">
      <c r="A47" s="18" t="s">
        <v>203</v>
      </c>
      <c r="B47" s="5"/>
      <c r="C47" s="5"/>
      <c r="D47" s="19" t="s">
        <v>204</v>
      </c>
      <c r="E47" s="5">
        <f>E21+E20*(E18*10^-3)/2</f>
        <v>4.5430349999999997</v>
      </c>
      <c r="F47" s="20" t="s">
        <v>33</v>
      </c>
      <c r="H47" s="12" t="s">
        <v>205</v>
      </c>
      <c r="I47" s="14">
        <f>E17*10^-3*SQRT(E47/(E44*10^-9))</f>
        <v>0.34572143648666392</v>
      </c>
      <c r="J47" s="14">
        <f>E17*10^-3*SQRT(E47/(E44*10^-9))</f>
        <v>0.34572143648666392</v>
      </c>
    </row>
    <row r="48" spans="1:10" ht="18" x14ac:dyDescent="0.35">
      <c r="A48" s="1" t="s">
        <v>206</v>
      </c>
      <c r="B48" s="2"/>
      <c r="C48" s="2"/>
      <c r="D48" s="2" t="s">
        <v>207</v>
      </c>
      <c r="E48" s="21">
        <f>E21+E20*(E18*10^-3)/2+E22*(E17/E18)</f>
        <v>4.6196385156249997</v>
      </c>
      <c r="F48" s="3" t="s">
        <v>33</v>
      </c>
      <c r="H48" s="12" t="s">
        <v>208</v>
      </c>
      <c r="I48">
        <v>1</v>
      </c>
      <c r="J48">
        <f>J47/(TAN(J47))</f>
        <v>0.9598377759529495</v>
      </c>
    </row>
    <row r="49" spans="1:10" ht="18" x14ac:dyDescent="0.35">
      <c r="A49" s="1" t="s">
        <v>209</v>
      </c>
      <c r="B49" s="2"/>
      <c r="C49" s="2"/>
      <c r="D49" s="2" t="s">
        <v>210</v>
      </c>
      <c r="E49" s="21">
        <f>E22/2+E63</f>
        <v>1.0005322086646018</v>
      </c>
      <c r="F49" s="3" t="s">
        <v>33</v>
      </c>
      <c r="H49" s="12" t="s">
        <v>211</v>
      </c>
      <c r="I49">
        <v>1</v>
      </c>
      <c r="J49">
        <f>J47/(SIN(J47))</f>
        <v>1.0202018759994058</v>
      </c>
    </row>
    <row r="50" spans="1:10" ht="18" x14ac:dyDescent="0.35">
      <c r="A50" s="1" t="s">
        <v>212</v>
      </c>
      <c r="B50" s="2"/>
      <c r="C50" s="2"/>
      <c r="D50" s="2" t="s">
        <v>213</v>
      </c>
      <c r="E50" s="21">
        <f>(E20*E18/2*10^-3+E21)-(E22*(E17*10^-3)/(E18*10^-3))</f>
        <v>4.4664314843749997</v>
      </c>
      <c r="F50" s="3" t="s">
        <v>33</v>
      </c>
      <c r="H50" s="12" t="s">
        <v>214</v>
      </c>
      <c r="I50" s="13">
        <v>0.5</v>
      </c>
      <c r="J50" s="15">
        <f>TAN(J47/2)/(J47)</f>
        <v>0.50504039099115094</v>
      </c>
    </row>
    <row r="51" spans="1:10" ht="19.5" thickBot="1" x14ac:dyDescent="0.4">
      <c r="A51" s="1" t="s">
        <v>215</v>
      </c>
      <c r="B51" s="2"/>
      <c r="C51" s="2"/>
      <c r="D51" s="2" t="s">
        <v>216</v>
      </c>
      <c r="E51" s="21">
        <f>E22/2-E63</f>
        <v>-0.8611884586646017</v>
      </c>
      <c r="F51" s="3" t="s">
        <v>33</v>
      </c>
      <c r="H51" s="12" t="s">
        <v>217</v>
      </c>
      <c r="I51" s="13">
        <f>1/3</f>
        <v>0.33333333333333331</v>
      </c>
      <c r="J51" s="15">
        <f>(1-J48)/$J$47^2</f>
        <v>0.33602000725905562</v>
      </c>
    </row>
    <row r="52" spans="1:10" ht="18" thickBot="1" x14ac:dyDescent="0.3">
      <c r="A52" s="33" t="s">
        <v>218</v>
      </c>
      <c r="B52" s="31"/>
      <c r="C52" s="31"/>
      <c r="D52" s="31"/>
      <c r="E52" s="31"/>
      <c r="F52" s="32"/>
      <c r="H52" s="12" t="s">
        <v>219</v>
      </c>
      <c r="I52" s="13">
        <f>1/6</f>
        <v>0.16666666666666666</v>
      </c>
      <c r="J52" s="15">
        <f>(J49-1)/$J$47^2</f>
        <v>0.16902038373209588</v>
      </c>
    </row>
    <row r="53" spans="1:10" ht="18.75" x14ac:dyDescent="0.35">
      <c r="A53" s="18" t="s">
        <v>220</v>
      </c>
      <c r="B53" s="5"/>
      <c r="C53" s="5"/>
      <c r="D53" s="19" t="s">
        <v>221</v>
      </c>
      <c r="E53" s="26">
        <f>-(E20*(E18*10^-3)^2/4)/((3+J46*J51))+J46*J54*(E17*10^-3)/((J46*J48-J47^2))</f>
        <v>-1.8186990246100951</v>
      </c>
      <c r="F53" s="20" t="s">
        <v>75</v>
      </c>
      <c r="H53" s="12" t="s">
        <v>222</v>
      </c>
      <c r="I53" s="13">
        <f>1/24</f>
        <v>4.1666666666666664E-2</v>
      </c>
      <c r="J53" s="15">
        <f>(J50-0.5)/$J$47^2</f>
        <v>4.2170777580715225E-2</v>
      </c>
    </row>
    <row r="54" spans="1:10" ht="18" x14ac:dyDescent="0.35">
      <c r="A54" s="1" t="s">
        <v>223</v>
      </c>
      <c r="B54" s="2"/>
      <c r="C54" s="2"/>
      <c r="D54" s="9" t="s">
        <v>224</v>
      </c>
      <c r="E54" s="21">
        <f>-(E20*(E18*10^-3)^2/4)/((3+J46*J51))-J46*J54*(E17*10^-3)/((J46*J48-J47^2))</f>
        <v>-2.1828543599676129</v>
      </c>
      <c r="F54" s="22" t="s">
        <v>75</v>
      </c>
      <c r="H54" s="12" t="s">
        <v>225</v>
      </c>
      <c r="I54">
        <f>E22/2+E47/E23</f>
        <v>7.8757944999999996E-2</v>
      </c>
      <c r="J54">
        <f>E22/2+E47/E23</f>
        <v>7.8757944999999996E-2</v>
      </c>
    </row>
    <row r="55" spans="1:10" ht="18.75" thickBot="1" x14ac:dyDescent="0.4">
      <c r="A55" s="16" t="s">
        <v>226</v>
      </c>
      <c r="B55" s="23"/>
      <c r="C55" s="23"/>
      <c r="D55" s="23" t="s">
        <v>227</v>
      </c>
      <c r="E55" s="23">
        <f>E20*(E18*10^-3)^2/8</f>
        <v>4.4521742999999994</v>
      </c>
      <c r="F55" s="25" t="s">
        <v>75</v>
      </c>
    </row>
    <row r="56" spans="1:10" ht="15.75" thickBot="1" x14ac:dyDescent="0.3">
      <c r="A56" s="33" t="s">
        <v>228</v>
      </c>
      <c r="B56" s="31"/>
      <c r="C56" s="31"/>
      <c r="D56" s="31"/>
      <c r="E56" s="31"/>
      <c r="F56" s="32"/>
    </row>
    <row r="57" spans="1:10" ht="18" x14ac:dyDescent="0.35">
      <c r="A57" s="18" t="s">
        <v>229</v>
      </c>
      <c r="B57" s="5"/>
      <c r="C57" s="5"/>
      <c r="D57" s="27" t="s">
        <v>230</v>
      </c>
      <c r="E57" s="26">
        <f>((J46*J51+1)/(J46*J48-J47^2)*J54*(E17*10^-3)^3/((E44*10^-9)))*10^3</f>
        <v>2.7193926975598375</v>
      </c>
      <c r="F57" s="20" t="s">
        <v>160</v>
      </c>
    </row>
    <row r="58" spans="1:10" ht="18" x14ac:dyDescent="0.35">
      <c r="A58" s="2" t="s">
        <v>231</v>
      </c>
      <c r="C58" s="2"/>
      <c r="D58" s="9" t="s">
        <v>232</v>
      </c>
      <c r="E58" s="28">
        <f>5/384*E20*(E18)^4/(E34)</f>
        <v>30.850419896969697</v>
      </c>
      <c r="F58" s="29" t="s">
        <v>160</v>
      </c>
    </row>
    <row r="59" spans="1:10" ht="18" x14ac:dyDescent="0.35">
      <c r="A59" s="2" t="s">
        <v>233</v>
      </c>
      <c r="C59" s="2"/>
      <c r="D59" s="9" t="s">
        <v>234</v>
      </c>
      <c r="E59" s="28">
        <f>(E53+E54)*10^6/(16*E34)*E18^2</f>
        <v>-16.6367613443655</v>
      </c>
      <c r="F59" s="3" t="s">
        <v>160</v>
      </c>
    </row>
    <row r="60" spans="1:10" ht="15.75" thickBot="1" x14ac:dyDescent="0.3">
      <c r="A60" s="1" t="s">
        <v>235</v>
      </c>
      <c r="B60" s="2"/>
      <c r="C60" s="2"/>
      <c r="D60" s="55" t="s">
        <v>236</v>
      </c>
      <c r="E60" s="28">
        <f>E58+E59</f>
        <v>14.213658552604198</v>
      </c>
      <c r="F60" s="22" t="s">
        <v>160</v>
      </c>
    </row>
    <row r="61" spans="1:10" ht="16.5" thickBot="1" x14ac:dyDescent="0.3">
      <c r="A61" s="30" t="s">
        <v>237</v>
      </c>
      <c r="B61" s="31"/>
      <c r="C61" s="31"/>
      <c r="D61" s="31"/>
      <c r="E61" s="31"/>
      <c r="F61" s="32"/>
    </row>
    <row r="62" spans="1:10" ht="15.75" thickBot="1" x14ac:dyDescent="0.3">
      <c r="A62" s="33" t="s">
        <v>201</v>
      </c>
      <c r="B62" s="31"/>
      <c r="C62" s="31"/>
      <c r="D62" s="31"/>
      <c r="E62" s="31" t="s">
        <v>238</v>
      </c>
      <c r="F62" s="34">
        <f>(E34)/(E44)*E17/E18</f>
        <v>0.71942441676394553</v>
      </c>
    </row>
    <row r="63" spans="1:10" ht="18" x14ac:dyDescent="0.35">
      <c r="A63" s="1" t="s">
        <v>239</v>
      </c>
      <c r="B63" s="2"/>
      <c r="C63" s="2"/>
      <c r="D63" s="2" t="s">
        <v>240</v>
      </c>
      <c r="E63" s="28">
        <f>E20*(E18)^2/((4*(E17)*(2*F62+3)))*10^-3</f>
        <v>0.93086033366460175</v>
      </c>
      <c r="F63" s="3" t="s">
        <v>33</v>
      </c>
    </row>
    <row r="64" spans="1:10" ht="18.75" thickBot="1" x14ac:dyDescent="0.4">
      <c r="A64" s="1" t="s">
        <v>241</v>
      </c>
      <c r="B64" s="2"/>
      <c r="C64" s="2"/>
      <c r="D64" s="2" t="s">
        <v>242</v>
      </c>
      <c r="E64" s="2">
        <f>E20*E18*10^-3/2</f>
        <v>4.5430349999999997</v>
      </c>
      <c r="F64" s="3" t="s">
        <v>33</v>
      </c>
    </row>
    <row r="65" spans="1:22" ht="15.75" thickBot="1" x14ac:dyDescent="0.3">
      <c r="A65" s="33" t="s">
        <v>243</v>
      </c>
      <c r="B65" s="31"/>
      <c r="C65" s="31"/>
      <c r="D65" s="31"/>
      <c r="E65" s="31"/>
      <c r="F65" s="32"/>
    </row>
    <row r="66" spans="1:22" ht="18" x14ac:dyDescent="0.35">
      <c r="A66" s="1" t="s">
        <v>244</v>
      </c>
      <c r="B66" s="2"/>
      <c r="C66" s="2"/>
      <c r="D66" s="2" t="s">
        <v>227</v>
      </c>
      <c r="E66" s="21">
        <f>((E20*(E18*10^-3)^2)/8)-(-E67)</f>
        <v>2.4461702809527823</v>
      </c>
      <c r="F66" s="3" t="s">
        <v>75</v>
      </c>
    </row>
    <row r="67" spans="1:22" ht="18.75" thickBot="1" x14ac:dyDescent="0.4">
      <c r="A67" s="1" t="s">
        <v>245</v>
      </c>
      <c r="B67" s="2"/>
      <c r="C67" s="2"/>
      <c r="D67" s="2" t="s">
        <v>246</v>
      </c>
      <c r="E67" s="21">
        <f>-E63*E17*10^-3</f>
        <v>-2.006004019047217</v>
      </c>
      <c r="F67" s="3" t="s">
        <v>75</v>
      </c>
    </row>
    <row r="68" spans="1:22" ht="15.75" thickBot="1" x14ac:dyDescent="0.3">
      <c r="A68" s="33" t="s">
        <v>247</v>
      </c>
      <c r="B68" s="56"/>
      <c r="C68" s="56"/>
      <c r="D68" s="56"/>
      <c r="E68" s="57"/>
      <c r="F68" s="58"/>
    </row>
    <row r="69" spans="1:22" ht="18" x14ac:dyDescent="0.35">
      <c r="A69" s="1" t="s">
        <v>231</v>
      </c>
      <c r="B69" s="2"/>
      <c r="C69" s="2"/>
      <c r="D69" s="9" t="s">
        <v>232</v>
      </c>
      <c r="E69" s="28">
        <f>5/384*E20*(E18)^4/(E34)</f>
        <v>30.850419896969697</v>
      </c>
      <c r="F69" s="29" t="s">
        <v>160</v>
      </c>
    </row>
    <row r="70" spans="1:22" ht="18" x14ac:dyDescent="0.35">
      <c r="A70" s="1" t="s">
        <v>233</v>
      </c>
      <c r="B70" s="2"/>
      <c r="C70" s="2"/>
      <c r="D70" s="9" t="s">
        <v>248</v>
      </c>
      <c r="E70" s="28">
        <f>(E67+E67)*10^6/(16*E34)*E18^2</f>
        <v>-16.680227358380495</v>
      </c>
      <c r="F70" s="3" t="s">
        <v>160</v>
      </c>
    </row>
    <row r="71" spans="1:22" ht="18" x14ac:dyDescent="0.35">
      <c r="A71" s="1" t="s">
        <v>249</v>
      </c>
      <c r="B71" s="2"/>
      <c r="C71" s="2"/>
      <c r="D71" s="2" t="s">
        <v>250</v>
      </c>
      <c r="E71" s="35">
        <f>E69+E70</f>
        <v>14.170192538589202</v>
      </c>
      <c r="F71" s="3" t="s">
        <v>160</v>
      </c>
    </row>
    <row r="72" spans="1:22" ht="15.75" thickBot="1" x14ac:dyDescent="0.3">
      <c r="A72" s="16" t="s">
        <v>251</v>
      </c>
      <c r="B72" s="23"/>
      <c r="C72" s="23"/>
      <c r="D72" s="23"/>
      <c r="E72" s="24">
        <f>E71/E69</f>
        <v>0.45931927623393803</v>
      </c>
      <c r="F72" s="36"/>
    </row>
    <row r="73" spans="1:22" x14ac:dyDescent="0.25">
      <c r="A73" s="1"/>
    </row>
    <row r="74" spans="1:22" x14ac:dyDescent="0.25">
      <c r="A74" t="s">
        <v>252</v>
      </c>
    </row>
    <row r="75" spans="1:22" x14ac:dyDescent="0.25">
      <c r="A75" t="s">
        <v>66</v>
      </c>
      <c r="B75">
        <f>E18-E18+1</f>
        <v>1</v>
      </c>
      <c r="C75">
        <f>$E$18*0.05</f>
        <v>196</v>
      </c>
      <c r="D75">
        <f>$E$18*(2/20)</f>
        <v>392</v>
      </c>
      <c r="E75">
        <f>$E$18*(3/20)</f>
        <v>588</v>
      </c>
      <c r="F75">
        <f>$E$18*(4/20)</f>
        <v>784</v>
      </c>
      <c r="G75">
        <f>$E$18*(5/20)</f>
        <v>980</v>
      </c>
      <c r="H75">
        <f>$E$18*(6/20)</f>
        <v>1176</v>
      </c>
      <c r="I75">
        <f>$E$18*(7/20)</f>
        <v>1372</v>
      </c>
      <c r="J75">
        <f>$E$18*(8/20)</f>
        <v>1568</v>
      </c>
      <c r="K75">
        <f>$E$18*(9/20)</f>
        <v>1764</v>
      </c>
      <c r="L75">
        <f>$E$18*(10/20)</f>
        <v>1960</v>
      </c>
      <c r="M75">
        <f>$E$18*(11/20)</f>
        <v>2156</v>
      </c>
      <c r="N75">
        <f>$E$18*(12/20)</f>
        <v>2352</v>
      </c>
      <c r="O75">
        <f>$E$18*(13/20)</f>
        <v>2548</v>
      </c>
      <c r="P75">
        <f>$E$18*(14/20)</f>
        <v>2744</v>
      </c>
      <c r="Q75">
        <f>$E$18*(15/20)</f>
        <v>2940</v>
      </c>
      <c r="R75">
        <f>$E$18*(16/20)</f>
        <v>3136</v>
      </c>
      <c r="S75">
        <f>$E$18*(17/20)</f>
        <v>3332</v>
      </c>
      <c r="T75">
        <f>$E$18*(18/20)</f>
        <v>3528</v>
      </c>
      <c r="U75">
        <f>$E$18*(19/20)</f>
        <v>3724</v>
      </c>
      <c r="V75">
        <f>$E$18*(20/20)</f>
        <v>3920</v>
      </c>
    </row>
    <row r="76" spans="1:22" ht="17.25" x14ac:dyDescent="0.25">
      <c r="A76" s="12" t="s">
        <v>253</v>
      </c>
      <c r="B76">
        <f>$E$18-B75</f>
        <v>3919</v>
      </c>
      <c r="C76">
        <f>$E$18-C75</f>
        <v>3724</v>
      </c>
      <c r="D76">
        <f t="shared" ref="D76:V76" si="0">$E$18-D75</f>
        <v>3528</v>
      </c>
      <c r="E76">
        <f t="shared" si="0"/>
        <v>3332</v>
      </c>
      <c r="F76">
        <f t="shared" si="0"/>
        <v>3136</v>
      </c>
      <c r="G76">
        <f t="shared" si="0"/>
        <v>2940</v>
      </c>
      <c r="H76">
        <f t="shared" si="0"/>
        <v>2744</v>
      </c>
      <c r="I76">
        <f t="shared" si="0"/>
        <v>2548</v>
      </c>
      <c r="J76">
        <f t="shared" si="0"/>
        <v>2352</v>
      </c>
      <c r="K76">
        <f t="shared" si="0"/>
        <v>2156</v>
      </c>
      <c r="L76">
        <f t="shared" si="0"/>
        <v>1960</v>
      </c>
      <c r="M76">
        <f t="shared" si="0"/>
        <v>1764</v>
      </c>
      <c r="N76">
        <f t="shared" si="0"/>
        <v>1568</v>
      </c>
      <c r="O76">
        <f t="shared" si="0"/>
        <v>1372</v>
      </c>
      <c r="P76">
        <f t="shared" si="0"/>
        <v>1176</v>
      </c>
      <c r="Q76">
        <f t="shared" si="0"/>
        <v>980</v>
      </c>
      <c r="R76">
        <f t="shared" si="0"/>
        <v>784</v>
      </c>
      <c r="S76">
        <f t="shared" si="0"/>
        <v>588</v>
      </c>
      <c r="T76">
        <f t="shared" si="0"/>
        <v>392</v>
      </c>
      <c r="U76">
        <f t="shared" si="0"/>
        <v>196</v>
      </c>
      <c r="V76">
        <f t="shared" si="0"/>
        <v>0</v>
      </c>
    </row>
    <row r="77" spans="1:22" x14ac:dyDescent="0.25">
      <c r="A77" s="12" t="s">
        <v>254</v>
      </c>
      <c r="B77">
        <f>B75/$E$18</f>
        <v>2.5510204081632655E-4</v>
      </c>
      <c r="C77">
        <f>C75/$E$18</f>
        <v>0.05</v>
      </c>
      <c r="D77">
        <f t="shared" ref="D77:V78" si="1">D75/$E$18</f>
        <v>0.1</v>
      </c>
      <c r="E77">
        <f t="shared" si="1"/>
        <v>0.15</v>
      </c>
      <c r="F77">
        <f t="shared" si="1"/>
        <v>0.2</v>
      </c>
      <c r="G77">
        <f t="shared" si="1"/>
        <v>0.25</v>
      </c>
      <c r="H77">
        <f t="shared" si="1"/>
        <v>0.3</v>
      </c>
      <c r="I77">
        <f t="shared" si="1"/>
        <v>0.35</v>
      </c>
      <c r="J77">
        <f t="shared" si="1"/>
        <v>0.4</v>
      </c>
      <c r="K77">
        <f t="shared" si="1"/>
        <v>0.45</v>
      </c>
      <c r="L77">
        <f t="shared" si="1"/>
        <v>0.5</v>
      </c>
      <c r="M77">
        <f t="shared" si="1"/>
        <v>0.55000000000000004</v>
      </c>
      <c r="N77">
        <f t="shared" si="1"/>
        <v>0.6</v>
      </c>
      <c r="O77">
        <f t="shared" si="1"/>
        <v>0.65</v>
      </c>
      <c r="P77">
        <f t="shared" si="1"/>
        <v>0.7</v>
      </c>
      <c r="Q77">
        <f t="shared" si="1"/>
        <v>0.75</v>
      </c>
      <c r="R77">
        <f t="shared" si="1"/>
        <v>0.8</v>
      </c>
      <c r="S77">
        <f t="shared" si="1"/>
        <v>0.85</v>
      </c>
      <c r="T77">
        <f t="shared" si="1"/>
        <v>0.9</v>
      </c>
      <c r="U77">
        <f t="shared" si="1"/>
        <v>0.95</v>
      </c>
      <c r="V77">
        <f t="shared" si="1"/>
        <v>1</v>
      </c>
    </row>
    <row r="78" spans="1:22" ht="17.25" x14ac:dyDescent="0.25">
      <c r="A78" s="12" t="s">
        <v>255</v>
      </c>
      <c r="B78">
        <f>B76/$E$18</f>
        <v>0.99974489795918364</v>
      </c>
      <c r="C78">
        <f>C76/$E$18</f>
        <v>0.95</v>
      </c>
      <c r="D78">
        <f t="shared" si="1"/>
        <v>0.9</v>
      </c>
      <c r="E78">
        <f t="shared" si="1"/>
        <v>0.85</v>
      </c>
      <c r="F78">
        <f t="shared" si="1"/>
        <v>0.8</v>
      </c>
      <c r="G78">
        <f t="shared" si="1"/>
        <v>0.75</v>
      </c>
      <c r="H78">
        <f t="shared" si="1"/>
        <v>0.7</v>
      </c>
      <c r="I78">
        <f t="shared" si="1"/>
        <v>0.65</v>
      </c>
      <c r="J78">
        <f t="shared" si="1"/>
        <v>0.6</v>
      </c>
      <c r="K78">
        <f t="shared" si="1"/>
        <v>0.55000000000000004</v>
      </c>
      <c r="L78">
        <f t="shared" si="1"/>
        <v>0.5</v>
      </c>
      <c r="M78">
        <f t="shared" si="1"/>
        <v>0.45</v>
      </c>
      <c r="N78">
        <f t="shared" si="1"/>
        <v>0.4</v>
      </c>
      <c r="O78">
        <f t="shared" si="1"/>
        <v>0.35</v>
      </c>
      <c r="P78">
        <f t="shared" si="1"/>
        <v>0.3</v>
      </c>
      <c r="Q78">
        <f t="shared" si="1"/>
        <v>0.25</v>
      </c>
      <c r="R78">
        <f t="shared" si="1"/>
        <v>0.2</v>
      </c>
      <c r="S78">
        <f t="shared" si="1"/>
        <v>0.15</v>
      </c>
      <c r="T78">
        <f t="shared" si="1"/>
        <v>0.1</v>
      </c>
      <c r="U78">
        <f t="shared" si="1"/>
        <v>0.05</v>
      </c>
      <c r="V78">
        <f t="shared" si="1"/>
        <v>0</v>
      </c>
    </row>
    <row r="79" spans="1:22" ht="18" x14ac:dyDescent="0.35">
      <c r="A79" s="12" t="s">
        <v>256</v>
      </c>
      <c r="B79">
        <f t="shared" ref="B79:V79" si="2">((1+B77*B78)/(24*$E$34))*B77*B78*$E$20*$E$18^4</f>
        <v>2.5184012965039297E-2</v>
      </c>
      <c r="C79">
        <f t="shared" si="2"/>
        <v>4.9120038559955148</v>
      </c>
      <c r="D79">
        <f t="shared" si="2"/>
        <v>9.6845638140567285</v>
      </c>
      <c r="E79">
        <f t="shared" si="2"/>
        <v>14.191810161003996</v>
      </c>
      <c r="F79">
        <f t="shared" si="2"/>
        <v>18.322681385208245</v>
      </c>
      <c r="G79">
        <f t="shared" si="2"/>
        <v>21.980924176590907</v>
      </c>
      <c r="H79">
        <f t="shared" si="2"/>
        <v>25.085093426623995</v>
      </c>
      <c r="I79">
        <f t="shared" si="2"/>
        <v>27.568552228330056</v>
      </c>
      <c r="J79">
        <f t="shared" si="2"/>
        <v>29.379471876282174</v>
      </c>
      <c r="K79">
        <f t="shared" si="2"/>
        <v>30.480831866604007</v>
      </c>
      <c r="L79">
        <f t="shared" si="2"/>
        <v>30.850419896969697</v>
      </c>
      <c r="M79">
        <f t="shared" si="2"/>
        <v>30.480831866604007</v>
      </c>
      <c r="N79">
        <f t="shared" si="2"/>
        <v>29.379471876282174</v>
      </c>
      <c r="O79">
        <f t="shared" si="2"/>
        <v>27.568552228330056</v>
      </c>
      <c r="P79">
        <f t="shared" si="2"/>
        <v>25.085093426623995</v>
      </c>
      <c r="Q79">
        <f t="shared" si="2"/>
        <v>21.980924176590907</v>
      </c>
      <c r="R79">
        <f t="shared" si="2"/>
        <v>18.322681385208245</v>
      </c>
      <c r="S79">
        <f t="shared" si="2"/>
        <v>14.191810161003996</v>
      </c>
      <c r="T79">
        <f t="shared" si="2"/>
        <v>9.6845638140567285</v>
      </c>
      <c r="U79">
        <f t="shared" si="2"/>
        <v>4.9120038559955148</v>
      </c>
      <c r="V79">
        <f t="shared" si="2"/>
        <v>0</v>
      </c>
    </row>
    <row r="80" spans="1:22" ht="18" x14ac:dyDescent="0.35">
      <c r="A80" s="12" t="s">
        <v>257</v>
      </c>
      <c r="B80">
        <f t="shared" ref="B80:V80" si="3">(((B78-B78^3)*$E$53*10^9+(B77-B77^3)*$E$54*10^9)/(6*$E$34))*$E$18^2*10^-3</f>
        <v>-1.6457383300178142E-2</v>
      </c>
      <c r="C80">
        <f t="shared" si="3"/>
        <v>-3.0746864619558125</v>
      </c>
      <c r="D80">
        <f t="shared" si="3"/>
        <v>-5.8438897581212474</v>
      </c>
      <c r="E80">
        <f t="shared" si="3"/>
        <v>-8.304581881707767</v>
      </c>
      <c r="F80">
        <f t="shared" si="3"/>
        <v>-10.45373482592681</v>
      </c>
      <c r="G80">
        <f t="shared" si="3"/>
        <v>-12.28832058398984</v>
      </c>
      <c r="H80">
        <f t="shared" si="3"/>
        <v>-13.805311149108304</v>
      </c>
      <c r="I80">
        <f t="shared" si="3"/>
        <v>-15.001678514493644</v>
      </c>
      <c r="J80">
        <f t="shared" si="3"/>
        <v>-15.87439467335733</v>
      </c>
      <c r="K80">
        <f t="shared" si="3"/>
        <v>-16.420431618910797</v>
      </c>
      <c r="L80">
        <f t="shared" si="3"/>
        <v>-16.636761344365503</v>
      </c>
      <c r="M80">
        <f t="shared" si="3"/>
        <v>-16.520355842932901</v>
      </c>
      <c r="N80">
        <f t="shared" si="3"/>
        <v>-16.068187107824436</v>
      </c>
      <c r="O80">
        <f t="shared" si="3"/>
        <v>-15.277227132251564</v>
      </c>
      <c r="P80">
        <f t="shared" si="3"/>
        <v>-14.144447909425743</v>
      </c>
      <c r="Q80">
        <f t="shared" si="3"/>
        <v>-12.666821432558413</v>
      </c>
      <c r="R80">
        <f t="shared" si="3"/>
        <v>-10.841319694861028</v>
      </c>
      <c r="S80">
        <f t="shared" si="3"/>
        <v>-8.6649146895450482</v>
      </c>
      <c r="T80">
        <f t="shared" si="3"/>
        <v>-6.13457840982191</v>
      </c>
      <c r="U80">
        <f t="shared" si="3"/>
        <v>-3.2472828489030818</v>
      </c>
      <c r="V80">
        <f t="shared" si="3"/>
        <v>0</v>
      </c>
    </row>
    <row r="81" spans="1:22" x14ac:dyDescent="0.25">
      <c r="A81" s="12" t="s">
        <v>258</v>
      </c>
      <c r="B81">
        <f>SUM(B79:B80)*-1</f>
        <v>-8.7266296648611553E-3</v>
      </c>
      <c r="C81">
        <f t="shared" ref="C81:V81" si="4">SUM(C79:C80)*-1</f>
        <v>-1.8373173940397023</v>
      </c>
      <c r="D81">
        <f t="shared" si="4"/>
        <v>-3.8406740559354811</v>
      </c>
      <c r="E81">
        <f t="shared" si="4"/>
        <v>-5.8872282792962292</v>
      </c>
      <c r="F81">
        <f t="shared" si="4"/>
        <v>-7.8689465592814347</v>
      </c>
      <c r="G81">
        <f t="shared" si="4"/>
        <v>-9.692603592601067</v>
      </c>
      <c r="H81">
        <f t="shared" si="4"/>
        <v>-11.279782277515691</v>
      </c>
      <c r="I81">
        <f t="shared" si="4"/>
        <v>-12.566873713836411</v>
      </c>
      <c r="J81">
        <f t="shared" si="4"/>
        <v>-13.505077202924845</v>
      </c>
      <c r="K81">
        <f t="shared" si="4"/>
        <v>-14.06040024769321</v>
      </c>
      <c r="L81">
        <f t="shared" si="4"/>
        <v>-14.213658552604194</v>
      </c>
      <c r="M81">
        <f t="shared" si="4"/>
        <v>-13.960476023671106</v>
      </c>
      <c r="N81">
        <f t="shared" si="4"/>
        <v>-13.311284768457739</v>
      </c>
      <c r="O81">
        <f t="shared" si="4"/>
        <v>-12.291325096078491</v>
      </c>
      <c r="P81">
        <f t="shared" si="4"/>
        <v>-10.940645517198252</v>
      </c>
      <c r="Q81">
        <f t="shared" si="4"/>
        <v>-9.3141027440324944</v>
      </c>
      <c r="R81">
        <f t="shared" si="4"/>
        <v>-7.4813616903472173</v>
      </c>
      <c r="S81">
        <f t="shared" si="4"/>
        <v>-5.526895471458948</v>
      </c>
      <c r="T81">
        <f t="shared" si="4"/>
        <v>-3.5499854042348185</v>
      </c>
      <c r="U81">
        <f t="shared" si="4"/>
        <v>-1.664721007092433</v>
      </c>
      <c r="V81">
        <f t="shared" si="4"/>
        <v>0</v>
      </c>
    </row>
    <row r="82" spans="1:22" ht="18" x14ac:dyDescent="0.35">
      <c r="A82" s="12" t="s">
        <v>257</v>
      </c>
      <c r="B82">
        <f>(((B78-B78^3)*$E$67*10^9+(B77-B77^3)*$E$67*10^9)/(6*$E$34))*$E$18^2*10^-3</f>
        <v>-1.7016298161572567E-2</v>
      </c>
      <c r="C82">
        <f t="shared" ref="C82:V82" si="5">(((C78-C78^3)*$E$67*10^9+(C77-C77^3)*$E$67*10^9)/(6*$E$34))*$E$18^2*10^-3</f>
        <v>-3.1692431980922957</v>
      </c>
      <c r="D82">
        <f t="shared" si="5"/>
        <v>-6.0048818490169769</v>
      </c>
      <c r="E82">
        <f t="shared" si="5"/>
        <v>-8.5069159527740545</v>
      </c>
      <c r="F82">
        <f t="shared" si="5"/>
        <v>-10.675345509363517</v>
      </c>
      <c r="G82">
        <f t="shared" si="5"/>
        <v>-12.510170518785372</v>
      </c>
      <c r="H82">
        <f t="shared" si="5"/>
        <v>-14.011390981039618</v>
      </c>
      <c r="I82">
        <f t="shared" si="5"/>
        <v>-15.17900689612625</v>
      </c>
      <c r="J82">
        <f t="shared" si="5"/>
        <v>-16.013018264045279</v>
      </c>
      <c r="K82">
        <f t="shared" si="5"/>
        <v>-16.513425084796687</v>
      </c>
      <c r="L82">
        <f t="shared" si="5"/>
        <v>-16.680227358380495</v>
      </c>
      <c r="M82">
        <f t="shared" si="5"/>
        <v>-16.513425084796687</v>
      </c>
      <c r="N82">
        <f t="shared" si="5"/>
        <v>-16.013018264045279</v>
      </c>
      <c r="O82">
        <f t="shared" si="5"/>
        <v>-15.17900689612625</v>
      </c>
      <c r="P82">
        <f t="shared" si="5"/>
        <v>-14.011390981039618</v>
      </c>
      <c r="Q82">
        <f t="shared" si="5"/>
        <v>-12.510170518785372</v>
      </c>
      <c r="R82">
        <f t="shared" si="5"/>
        <v>-10.675345509363517</v>
      </c>
      <c r="S82">
        <f t="shared" si="5"/>
        <v>-8.5069159527740545</v>
      </c>
      <c r="T82">
        <f t="shared" si="5"/>
        <v>-6.0048818490169769</v>
      </c>
      <c r="U82">
        <f t="shared" si="5"/>
        <v>-3.1692431980922957</v>
      </c>
      <c r="V82">
        <f t="shared" si="5"/>
        <v>0</v>
      </c>
    </row>
    <row r="83" spans="1:22" x14ac:dyDescent="0.25">
      <c r="A83" s="12" t="s">
        <v>259</v>
      </c>
      <c r="B83">
        <f>SUM(B79+B82)</f>
        <v>8.1677148034667302E-3</v>
      </c>
      <c r="C83">
        <f t="shared" ref="C83:V83" si="6">SUM(C79+C82)</f>
        <v>1.7427606579032191</v>
      </c>
      <c r="D83">
        <f t="shared" si="6"/>
        <v>3.6796819650397516</v>
      </c>
      <c r="E83">
        <f t="shared" si="6"/>
        <v>5.6848942082299416</v>
      </c>
      <c r="F83">
        <f t="shared" si="6"/>
        <v>7.6473358758447283</v>
      </c>
      <c r="G83">
        <f t="shared" si="6"/>
        <v>9.4707536578055347</v>
      </c>
      <c r="H83">
        <f t="shared" si="6"/>
        <v>11.073702445584377</v>
      </c>
      <c r="I83">
        <f t="shared" si="6"/>
        <v>12.389545332203806</v>
      </c>
      <c r="J83">
        <f t="shared" si="6"/>
        <v>13.366453612236896</v>
      </c>
      <c r="K83">
        <f t="shared" si="6"/>
        <v>13.96740678180732</v>
      </c>
      <c r="L83">
        <f t="shared" si="6"/>
        <v>14.170192538589202</v>
      </c>
      <c r="M83">
        <f t="shared" si="6"/>
        <v>13.96740678180732</v>
      </c>
      <c r="N83">
        <f t="shared" si="6"/>
        <v>13.366453612236896</v>
      </c>
      <c r="O83">
        <f t="shared" si="6"/>
        <v>12.389545332203806</v>
      </c>
      <c r="P83">
        <f t="shared" si="6"/>
        <v>11.073702445584377</v>
      </c>
      <c r="Q83">
        <f t="shared" si="6"/>
        <v>9.4707536578055347</v>
      </c>
      <c r="R83">
        <f t="shared" si="6"/>
        <v>7.6473358758447283</v>
      </c>
      <c r="S83">
        <f t="shared" si="6"/>
        <v>5.6848942082299416</v>
      </c>
      <c r="T83">
        <f t="shared" si="6"/>
        <v>3.6796819650397516</v>
      </c>
      <c r="U83">
        <f t="shared" si="6"/>
        <v>1.7427606579032191</v>
      </c>
      <c r="V83">
        <f t="shared" si="6"/>
        <v>0</v>
      </c>
    </row>
  </sheetData>
  <sheetProtection algorithmName="SHA-512" hashValue="/K36MK4G5BzbHoRZ8S5xz8FTvybIZoEdsrAGft1D09wK4X+wNFMTaCwZuk28sAUVR2b93aHdAZ/aKk1deK2v8Q==" saltValue="8qOxlJvb5tk6Bmcy/EHrgg==" spinCount="100000" sheet="1" objects="1" scenarios="1"/>
  <mergeCells count="8">
    <mergeCell ref="D32:E32"/>
    <mergeCell ref="A35:F35"/>
    <mergeCell ref="A15:F15"/>
    <mergeCell ref="A19:F19"/>
    <mergeCell ref="A25:F25"/>
    <mergeCell ref="D26:E26"/>
    <mergeCell ref="D28:E28"/>
    <mergeCell ref="D30:E30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1CF7FE677D4D449B879E5C3D3F396C" ma:contentTypeVersion="9" ma:contentTypeDescription="Create a new document." ma:contentTypeScope="" ma:versionID="144b764dd1637bfc14fb78d3ce698bd0">
  <xsd:schema xmlns:xsd="http://www.w3.org/2001/XMLSchema" xmlns:xs="http://www.w3.org/2001/XMLSchema" xmlns:p="http://schemas.microsoft.com/office/2006/metadata/properties" xmlns:ns2="43efbcd7-421b-4d74-b158-3b5e7e222693" xmlns:ns3="eb30ac6b-a88c-4cf9-958e-631bbcfcd8b4" targetNamespace="http://schemas.microsoft.com/office/2006/metadata/properties" ma:root="true" ma:fieldsID="48758084e770d4d289110067b5c85c1c" ns2:_="" ns3:_="">
    <xsd:import namespace="43efbcd7-421b-4d74-b158-3b5e7e222693"/>
    <xsd:import namespace="eb30ac6b-a88c-4cf9-958e-631bbcfcd8b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efbcd7-421b-4d74-b158-3b5e7e2226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30ac6b-a88c-4cf9-958e-631bbcfcd8b4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A4DC957-B4FC-456A-A29D-28F93D30BD13}">
  <ds:schemaRefs>
    <ds:schemaRef ds:uri="http://purl.org/dc/dcmitype/"/>
    <ds:schemaRef ds:uri="http://schemas.microsoft.com/office/2006/documentManagement/types"/>
    <ds:schemaRef ds:uri="9bf8b3a2-d137-490c-85db-cdca0671b508"/>
    <ds:schemaRef ds:uri="http://schemas.microsoft.com/office/infopath/2007/PartnerControls"/>
    <ds:schemaRef ds:uri="http://schemas.openxmlformats.org/package/2006/metadata/core-properties"/>
    <ds:schemaRef ds:uri="986eaa4c-8e55-405d-b748-26e262c14b94"/>
    <ds:schemaRef ds:uri="http://schemas.microsoft.com/office/2006/metadata/properties"/>
    <ds:schemaRef ds:uri="http://www.w3.org/XML/1998/namespace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EF2E4EF-60BA-469D-A5C0-A8DADD869D09}"/>
</file>

<file path=customXml/itemProps3.xml><?xml version="1.0" encoding="utf-8"?>
<ds:datastoreItem xmlns:ds="http://schemas.openxmlformats.org/officeDocument/2006/customXml" ds:itemID="{C2C855D9-BBD3-4EA9-97CF-DD70542CCC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2</DocSecurity>
  <ScaleCrop>false</ScaleCrop>
  <HeadingPairs>
    <vt:vector size="4" baseType="variant">
      <vt:variant>
        <vt:lpstr>Arbeitsblätter</vt:lpstr>
      </vt:variant>
      <vt:variant>
        <vt:i4>19</vt:i4>
      </vt:variant>
      <vt:variant>
        <vt:lpstr>Benannte Bereiche</vt:lpstr>
      </vt:variant>
      <vt:variant>
        <vt:i4>120</vt:i4>
      </vt:variant>
    </vt:vector>
  </HeadingPairs>
  <TitlesOfParts>
    <vt:vector size="139" baseType="lpstr">
      <vt:lpstr>EINGABE</vt:lpstr>
      <vt:lpstr>AUSGABE</vt:lpstr>
      <vt:lpstr>DD</vt:lpstr>
      <vt:lpstr>PROFILE</vt:lpstr>
      <vt:lpstr>RE FR</vt:lpstr>
      <vt:lpstr>RE SP</vt:lpstr>
      <vt:lpstr>RE TR</vt:lpstr>
      <vt:lpstr>F1P1</vt:lpstr>
      <vt:lpstr>F1P2</vt:lpstr>
      <vt:lpstr>F2P1</vt:lpstr>
      <vt:lpstr>F2P2</vt:lpstr>
      <vt:lpstr>F3P1</vt:lpstr>
      <vt:lpstr>F3P2</vt:lpstr>
      <vt:lpstr>F4P1</vt:lpstr>
      <vt:lpstr>F4P2</vt:lpstr>
      <vt:lpstr>F3P2FL</vt:lpstr>
      <vt:lpstr>F4P2FL</vt:lpstr>
      <vt:lpstr>W1P1</vt:lpstr>
      <vt:lpstr>W1P2</vt:lpstr>
      <vt:lpstr>ANSP</vt:lpstr>
      <vt:lpstr>B</vt:lpstr>
      <vt:lpstr>BKOR</vt:lpstr>
      <vt:lpstr>BWA</vt:lpstr>
      <vt:lpstr>DAUE</vt:lpstr>
      <vt:lpstr>EL</vt:lpstr>
      <vt:lpstr>EV100S</vt:lpstr>
      <vt:lpstr>EV80S</vt:lpstr>
      <vt:lpstr>EVSIG</vt:lpstr>
      <vt:lpstr>femx</vt:lpstr>
      <vt:lpstr>fl</vt:lpstr>
      <vt:lpstr>FST</vt:lpstr>
      <vt:lpstr>FT1A</vt:lpstr>
      <vt:lpstr>FT1E</vt:lpstr>
      <vt:lpstr>FT1I</vt:lpstr>
      <vt:lpstr>FT1N</vt:lpstr>
      <vt:lpstr>FT1W</vt:lpstr>
      <vt:lpstr>FT1x</vt:lpstr>
      <vt:lpstr>FT2A</vt:lpstr>
      <vt:lpstr>FT2E</vt:lpstr>
      <vt:lpstr>FT2I</vt:lpstr>
      <vt:lpstr>FT2N</vt:lpstr>
      <vt:lpstr>FT2W</vt:lpstr>
      <vt:lpstr>FT2x</vt:lpstr>
      <vt:lpstr>FT3A</vt:lpstr>
      <vt:lpstr>FT3E</vt:lpstr>
      <vt:lpstr>FT3I</vt:lpstr>
      <vt:lpstr>FT3N</vt:lpstr>
      <vt:lpstr>FT3W</vt:lpstr>
      <vt:lpstr>FT3x</vt:lpstr>
      <vt:lpstr>FT4A</vt:lpstr>
      <vt:lpstr>FT4E</vt:lpstr>
      <vt:lpstr>FT4I</vt:lpstr>
      <vt:lpstr>FT4N</vt:lpstr>
      <vt:lpstr>FT4W</vt:lpstr>
      <vt:lpstr>FT4x</vt:lpstr>
      <vt:lpstr>FTN</vt:lpstr>
      <vt:lpstr>H</vt:lpstr>
      <vt:lpstr>HW</vt:lpstr>
      <vt:lpstr>HWL</vt:lpstr>
      <vt:lpstr>imax</vt:lpstr>
      <vt:lpstr>INFOSTANDSICHERHEIT</vt:lpstr>
      <vt:lpstr>L</vt:lpstr>
      <vt:lpstr>L2SP</vt:lpstr>
      <vt:lpstr>LA</vt:lpstr>
      <vt:lpstr>LDF</vt:lpstr>
      <vt:lpstr>LED</vt:lpstr>
      <vt:lpstr>LFE</vt:lpstr>
      <vt:lpstr>LFS</vt:lpstr>
      <vt:lpstr>LFW</vt:lpstr>
      <vt:lpstr>LGF</vt:lpstr>
      <vt:lpstr>LKOR</vt:lpstr>
      <vt:lpstr>LL2SP</vt:lpstr>
      <vt:lpstr>LLFT</vt:lpstr>
      <vt:lpstr>LLSP</vt:lpstr>
      <vt:lpstr>LLTH</vt:lpstr>
      <vt:lpstr>LLUB</vt:lpstr>
      <vt:lpstr>LLWT</vt:lpstr>
      <vt:lpstr>LSP</vt:lpstr>
      <vt:lpstr>LWF</vt:lpstr>
      <vt:lpstr>M100EV</vt:lpstr>
      <vt:lpstr>M100PF</vt:lpstr>
      <vt:lpstr>M130TF</vt:lpstr>
      <vt:lpstr>M170FT</vt:lpstr>
      <vt:lpstr>M200WT</vt:lpstr>
      <vt:lpstr>M205FT</vt:lpstr>
      <vt:lpstr>M240FT</vt:lpstr>
      <vt:lpstr>M80EV</vt:lpstr>
      <vt:lpstr>M80PF</vt:lpstr>
      <vt:lpstr>MAEX</vt:lpstr>
      <vt:lpstr>MSTSP</vt:lpstr>
      <vt:lpstr>MSTWA</vt:lpstr>
      <vt:lpstr>OL</vt:lpstr>
      <vt:lpstr>OLF</vt:lpstr>
      <vt:lpstr>PF100StIx</vt:lpstr>
      <vt:lpstr>PF1A</vt:lpstr>
      <vt:lpstr>PF1E</vt:lpstr>
      <vt:lpstr>PF1I</vt:lpstr>
      <vt:lpstr>PF1N</vt:lpstr>
      <vt:lpstr>PF1W</vt:lpstr>
      <vt:lpstr>PF1x</vt:lpstr>
      <vt:lpstr>PF2A</vt:lpstr>
      <vt:lpstr>PF2E</vt:lpstr>
      <vt:lpstr>PF2I</vt:lpstr>
      <vt:lpstr>PF2N</vt:lpstr>
      <vt:lpstr>PF2W</vt:lpstr>
      <vt:lpstr>PF2x</vt:lpstr>
      <vt:lpstr>PF80STIx</vt:lpstr>
      <vt:lpstr>PFAE</vt:lpstr>
      <vt:lpstr>PFBE</vt:lpstr>
      <vt:lpstr>PFCH</vt:lpstr>
      <vt:lpstr>PRSIG</vt:lpstr>
      <vt:lpstr>SL</vt:lpstr>
      <vt:lpstr>SPA</vt:lpstr>
      <vt:lpstr>SPL</vt:lpstr>
      <vt:lpstr>SPLL</vt:lpstr>
      <vt:lpstr>SPRA</vt:lpstr>
      <vt:lpstr>SST</vt:lpstr>
      <vt:lpstr>STE</vt:lpstr>
      <vt:lpstr>STF</vt:lpstr>
      <vt:lpstr>STS</vt:lpstr>
      <vt:lpstr>STVO</vt:lpstr>
      <vt:lpstr>TL</vt:lpstr>
      <vt:lpstr>UB</vt:lpstr>
      <vt:lpstr>W200M</vt:lpstr>
      <vt:lpstr>WAE</vt:lpstr>
      <vt:lpstr>WBE</vt:lpstr>
      <vt:lpstr>WI</vt:lpstr>
      <vt:lpstr>WIB</vt:lpstr>
      <vt:lpstr>WKOR</vt:lpstr>
      <vt:lpstr>WL</vt:lpstr>
      <vt:lpstr>WSTE</vt:lpstr>
      <vt:lpstr>WT1A</vt:lpstr>
      <vt:lpstr>WT1E</vt:lpstr>
      <vt:lpstr>WT1I</vt:lpstr>
      <vt:lpstr>WT1N</vt:lpstr>
      <vt:lpstr>WT1W</vt:lpstr>
      <vt:lpstr>WT1x</vt:lpstr>
      <vt:lpstr>WTE</vt:lpstr>
      <vt:lpstr>EINGABE!Zielbereich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Christoph Hutter</dc:creator>
  <cp:keywords/>
  <dc:description/>
  <cp:lastModifiedBy>Christoph Hutter - Sunparadise</cp:lastModifiedBy>
  <cp:revision/>
  <cp:lastPrinted>2020-08-27T13:54:24Z</cp:lastPrinted>
  <dcterms:created xsi:type="dcterms:W3CDTF">2018-05-04T12:17:09Z</dcterms:created>
  <dcterms:modified xsi:type="dcterms:W3CDTF">2020-09-03T06:46:29Z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0x010100041CF7FE677D4D449B879E5C3D3F396C</vt:lpwstr>
  </property>
</Properties>
</file>